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Notas" sheetId="2" state="visible" r:id="rId4"/>
    <sheet name="Detalle" sheetId="3" state="visible" r:id="rId5"/>
    <sheet name="Cortes cada 1%" sheetId="4" state="visible" r:id="rId6"/>
    <sheet name="Vistas" sheetId="5" state="visible" r:id="rId7"/>
  </sheets>
  <definedNames>
    <definedName function="false" hidden="true" localSheetId="3" name="_xlnm._FilterDatabase" vbProcedure="false">'Cortes cada 1%'!$A$1:$J$991</definedName>
    <definedName function="false" hidden="true" localSheetId="2" name="_xlnm._FilterDatabase" vbProcedure="false">Detalle!$A$1:$I$1370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2a3facb9-object_2
T-pose · Cuerpo completo</t>
        </r>
      </text>
    </comment>
    <comment ref="D4" authorId="0">
      <text>
        <r>
          <rPr>
            <sz val="10"/>
            <rFont val="Arial"/>
            <family val="2"/>
          </rPr>
          <t xml:space="preserve">2f639739-object_1
T-pose · Cuerpo completo</t>
        </r>
      </text>
    </comment>
    <comment ref="E4" authorId="0">
      <text>
        <r>
          <rPr>
            <sz val="10"/>
            <rFont val="Arial"/>
            <family val="2"/>
          </rPr>
          <t xml:space="preserve">5dc9e0d5-object_0
T-pose · Cuerpo completo</t>
        </r>
      </text>
    </comment>
    <comment ref="F4" authorId="0">
      <text>
        <r>
          <rPr>
            <sz val="10"/>
            <rFont val="Arial"/>
            <family val="2"/>
          </rPr>
          <t xml:space="preserve">a501b501-object_3
T-pose · Cuerpo completo</t>
        </r>
      </text>
    </comment>
    <comment ref="G4" authorId="0">
      <text>
        <r>
          <rPr>
            <sz val="10"/>
            <rFont val="Arial"/>
            <family val="2"/>
          </rPr>
          <t xml:space="preserve">2b65e967-object_0-1
Relajada (brazos abajo) · Cuerpo completo</t>
        </r>
      </text>
    </comment>
    <comment ref="H4" authorId="0">
      <text>
        <r>
          <rPr>
            <sz val="10"/>
            <rFont val="Arial"/>
            <family val="2"/>
          </rPr>
          <t xml:space="preserve">5ed925a3-object_2
Relajada (brazos abajo) · Cuerpo completo</t>
        </r>
      </text>
    </comment>
    <comment ref="I4" authorId="0">
      <text>
        <r>
          <rPr>
            <sz val="10"/>
            <rFont val="Arial"/>
            <family val="2"/>
          </rPr>
          <t xml:space="preserve">70ef0058-object_0
Relajada (manos en bolsillos) · Cuerpo completo</t>
        </r>
      </text>
    </comment>
    <comment ref="J4" authorId="0">
      <text>
        <r>
          <rPr>
            <sz val="10"/>
            <rFont val="Arial"/>
            <family val="2"/>
          </rPr>
          <t xml:space="preserve">80c13944-object_3
Relajada (brazos abajo) · Cuerpo completo</t>
        </r>
      </text>
    </comment>
    <comment ref="K4" authorId="0">
      <text>
        <r>
          <rPr>
            <sz val="10"/>
            <rFont val="Arial"/>
            <family val="2"/>
          </rPr>
          <t xml:space="preserve">fba550bc-object_1
Relajada (brazos abajo) · Cuerpo completo</t>
        </r>
      </text>
    </comment>
    <comment ref="L4" authorId="0">
      <text>
        <r>
          <rPr>
            <sz val="10"/>
            <rFont val="Arial"/>
            <family val="2"/>
          </rPr>
          <t xml:space="preserve">38448021-object_5
Brazos a 45° · Busto deformado (cabeza gigante, cuerpo corto)</t>
        </r>
      </text>
    </comment>
    <comment ref="M4" authorId="0">
      <text>
        <r>
          <rPr>
            <sz val="10"/>
            <rFont val="Arial"/>
            <family val="2"/>
          </rPr>
          <t xml:space="preserve">6e95d62d-object_4
— · Solo cabeza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Arquetipo estándar de ALTH-META (spec/alth_spec.json). Valor editable.</t>
        </r>
      </text>
    </comment>
  </commentList>
</comments>
</file>

<file path=xl/sharedStrings.xml><?xml version="1.0" encoding="utf-8"?>
<sst xmlns="http://schemas.openxmlformats.org/spreadsheetml/2006/main" count="5550" uniqueCount="264">
  <si>
    <t xml:space="preserve">Medidas por modelo (mm a la altura de referencia; proporciones, conteos y % sin unidad)</t>
  </si>
  <si>
    <t xml:space="preserve">T-pose</t>
  </si>
  <si>
    <t xml:space="preserve">Pose relajada</t>
  </si>
  <si>
    <t xml:space="preserve">Parciales</t>
  </si>
  <si>
    <t xml:space="preserve">Parte</t>
  </si>
  <si>
    <t xml:space="preserve">Medida</t>
  </si>
  <si>
    <t xml:space="preserve">2a3facb9</t>
  </si>
  <si>
    <t xml:space="preserve">2f639739</t>
  </si>
  <si>
    <t xml:space="preserve">5dc9e0d5</t>
  </si>
  <si>
    <t xml:space="preserve">a501b501</t>
  </si>
  <si>
    <t xml:space="preserve">2b65e967</t>
  </si>
  <si>
    <t xml:space="preserve">5ed925a3</t>
  </si>
  <si>
    <t xml:space="preserve">70ef0058</t>
  </si>
  <si>
    <t xml:space="preserve">80c13944</t>
  </si>
  <si>
    <t xml:space="preserve">fba550bc</t>
  </si>
  <si>
    <t xml:space="preserve">38448021</t>
  </si>
  <si>
    <t xml:space="preserve">6e95d62d</t>
  </si>
  <si>
    <t xml:space="preserve">general</t>
  </si>
  <si>
    <t xml:space="preserve">altura total</t>
  </si>
  <si>
    <t xml:space="preserve">ancho total (X)</t>
  </si>
  <si>
    <t xml:space="preserve">fondo total (Z)</t>
  </si>
  <si>
    <t xml:space="preserve">triángulos</t>
  </si>
  <si>
    <t xml:space="preserve">vértices (soldados)</t>
  </si>
  <si>
    <t xml:space="preserve">área de superficie (u²)</t>
  </si>
  <si>
    <t xml:space="preserve">volumen aprox (u³)</t>
  </si>
  <si>
    <t xml:space="preserve">color</t>
  </si>
  <si>
    <t xml:space="preserve">% superficie calido</t>
  </si>
  <si>
    <t xml:space="preserve">% superficie blanco</t>
  </si>
  <si>
    <t xml:space="preserve">% superficie oscuro</t>
  </si>
  <si>
    <t xml:space="preserve">% superficie azul</t>
  </si>
  <si>
    <t xml:space="preserve">cabeza</t>
  </si>
  <si>
    <t xml:space="preserve">altura del cuello de camisa / base de cabeza</t>
  </si>
  <si>
    <t xml:space="preserve">alto de cabeza (con pelo)</t>
  </si>
  <si>
    <t xml:space="preserve">ancho de cabeza (con pelo y orejas)</t>
  </si>
  <si>
    <t xml:space="preserve">fondo de cabeza (con pelo)</t>
  </si>
  <si>
    <t xml:space="preserve">proporción</t>
  </si>
  <si>
    <t xml:space="preserve">cabezas de alto (altura/alto de cabeza)</t>
  </si>
  <si>
    <t xml:space="preserve">cabeza / altura total (%)</t>
  </si>
  <si>
    <t xml:space="preserve">ojos</t>
  </si>
  <si>
    <t xml:space="preserve">ojo izq centro altura</t>
  </si>
  <si>
    <t xml:space="preserve">ojo izq ancho</t>
  </si>
  <si>
    <t xml:space="preserve">ojo izq alto (incluye ceja si está pegada)</t>
  </si>
  <si>
    <t xml:space="preserve">ojo izq centro X</t>
  </si>
  <si>
    <t xml:space="preserve">ojo der centro altura</t>
  </si>
  <si>
    <t xml:space="preserve">ojo der ancho</t>
  </si>
  <si>
    <t xml:space="preserve">ojo der alto (incluye ceja si está pegada)</t>
  </si>
  <si>
    <t xml:space="preserve">ojo der centro X</t>
  </si>
  <si>
    <t xml:space="preserve">zona ojos+cejas alto total</t>
  </si>
  <si>
    <t xml:space="preserve">zona ojos+cejas ancho total</t>
  </si>
  <si>
    <t xml:space="preserve">ancho a 25% de la cabeza</t>
  </si>
  <si>
    <t xml:space="preserve">fondo a 25% de la cabeza</t>
  </si>
  <si>
    <t xml:space="preserve">contorno a 25% de la cabeza</t>
  </si>
  <si>
    <t xml:space="preserve">ancho a 50% de la cabeza</t>
  </si>
  <si>
    <t xml:space="preserve">fondo a 50% de la cabeza</t>
  </si>
  <si>
    <t xml:space="preserve">contorno a 50% de la cabeza</t>
  </si>
  <si>
    <t xml:space="preserve">ancho a 75% de la cabeza</t>
  </si>
  <si>
    <t xml:space="preserve">fondo a 75% de la cabeza</t>
  </si>
  <si>
    <t xml:space="preserve">contorno a 75% de la cabeza</t>
  </si>
  <si>
    <t xml:space="preserve">orejas</t>
  </si>
  <si>
    <t xml:space="preserve">oreja izq altura centro</t>
  </si>
  <si>
    <t xml:space="preserve">oreja izq saliente X</t>
  </si>
  <si>
    <t xml:space="preserve">oreja der altura centro</t>
  </si>
  <si>
    <t xml:space="preserve">oreja der saliente X</t>
  </si>
  <si>
    <t xml:space="preserve">chaleco</t>
  </si>
  <si>
    <t xml:space="preserve">borde superior (alto)</t>
  </si>
  <si>
    <t xml:space="preserve">borde inferior (alto)</t>
  </si>
  <si>
    <t xml:space="preserve">largo vertical</t>
  </si>
  <si>
    <t xml:space="preserve">ancho (frente)</t>
  </si>
  <si>
    <t xml:space="preserve">fondo</t>
  </si>
  <si>
    <t xml:space="preserve">pantalón</t>
  </si>
  <si>
    <t xml:space="preserve">cintura / borde superior visible (alto)</t>
  </si>
  <si>
    <t xml:space="preserve">bastilla / borde inferior (alto)</t>
  </si>
  <si>
    <t xml:space="preserve">largo total visible</t>
  </si>
  <si>
    <t xml:space="preserve">ancho máx</t>
  </si>
  <si>
    <t xml:space="preserve">fondo máx</t>
  </si>
  <si>
    <t xml:space="preserve">piernas</t>
  </si>
  <si>
    <t xml:space="preserve">entrepierna (alto)</t>
  </si>
  <si>
    <t xml:space="preserve">largo de pierna (suelo→entrepierna)</t>
  </si>
  <si>
    <t xml:space="preserve">entrepierna → base de cabeza (tronco)</t>
  </si>
  <si>
    <t xml:space="preserve">pierna / altura (%)</t>
  </si>
  <si>
    <t xml:space="preserve">tronco (entrepierna→cuello) / altura (%)</t>
  </si>
  <si>
    <t xml:space="preserve">muslo (25% sobre bastilla→entrepierna, alto) izq: ancho</t>
  </si>
  <si>
    <t xml:space="preserve">muslo (25% sobre bastilla→entrepierna, alto) izq: fondo</t>
  </si>
  <si>
    <t xml:space="preserve">muslo (25% sobre bastilla→entrepierna, alto) izq: contorno</t>
  </si>
  <si>
    <t xml:space="preserve">muslo (25% sobre bastilla→entrepierna, alto) der: ancho</t>
  </si>
  <si>
    <t xml:space="preserve">muslo (25% sobre bastilla→entrepierna, alto) der: fondo</t>
  </si>
  <si>
    <t xml:space="preserve">muslo (25% sobre bastilla→entrepierna, alto) der: contorno</t>
  </si>
  <si>
    <t xml:space="preserve">muslo (25% sobre bastilla→entrepierna, alto): separación entre piernas</t>
  </si>
  <si>
    <t xml:space="preserve">media pierna izq: ancho</t>
  </si>
  <si>
    <t xml:space="preserve">media pierna izq: fondo</t>
  </si>
  <si>
    <t xml:space="preserve">media pierna izq: contorno</t>
  </si>
  <si>
    <t xml:space="preserve">media pierna der: ancho</t>
  </si>
  <si>
    <t xml:space="preserve">media pierna der: fondo</t>
  </si>
  <si>
    <t xml:space="preserve">media pierna der: contorno</t>
  </si>
  <si>
    <t xml:space="preserve">media pierna: separación entre piernas</t>
  </si>
  <si>
    <t xml:space="preserve">pantorrilla/bastilla (sobre el dobladillo) izq: ancho</t>
  </si>
  <si>
    <t xml:space="preserve">pantorrilla/bastilla (sobre el dobladillo) izq: fondo</t>
  </si>
  <si>
    <t xml:space="preserve">pantorrilla/bastilla (sobre el dobladillo) izq: contorno</t>
  </si>
  <si>
    <t xml:space="preserve">pantorrilla/bastilla (sobre el dobladillo) der: ancho</t>
  </si>
  <si>
    <t xml:space="preserve">pantorrilla/bastilla (sobre el dobladillo) der: fondo</t>
  </si>
  <si>
    <t xml:space="preserve">pantorrilla/bastilla (sobre el dobladillo) der: contorno</t>
  </si>
  <si>
    <t xml:space="preserve">pantorrilla/bastilla (sobre el dobladillo): separación entre piernas</t>
  </si>
  <si>
    <t xml:space="preserve">zapatos</t>
  </si>
  <si>
    <t xml:space="preserve">zapato izq largo (Z)</t>
  </si>
  <si>
    <t xml:space="preserve">zapato izq ancho (X)</t>
  </si>
  <si>
    <t xml:space="preserve">zapato izq alto</t>
  </si>
  <si>
    <t xml:space="preserve">zapato izq centro X</t>
  </si>
  <si>
    <t xml:space="preserve">zapato der largo (Z)</t>
  </si>
  <si>
    <t xml:space="preserve">zapato der ancho (X)</t>
  </si>
  <si>
    <t xml:space="preserve">zapato der alto</t>
  </si>
  <si>
    <t xml:space="preserve">zapato der centro X</t>
  </si>
  <si>
    <t xml:space="preserve">ancho de postura (borde a borde)</t>
  </si>
  <si>
    <t xml:space="preserve">tobillo aprox (tope del zapato)</t>
  </si>
  <si>
    <t xml:space="preserve">pose</t>
  </si>
  <si>
    <t xml:space="preserve">tronco</t>
  </si>
  <si>
    <t xml:space="preserve">pecho (80% del tronco): alto</t>
  </si>
  <si>
    <t xml:space="preserve">pecho (80% del tronco): ancho sección central</t>
  </si>
  <si>
    <t xml:space="preserve">pecho (80% del tronco): fondo sección central</t>
  </si>
  <si>
    <t xml:space="preserve">pecho (80% del tronco): contorno sección central</t>
  </si>
  <si>
    <t xml:space="preserve">pecho (80% del tronco): ancho total silueta (incl. brazos)</t>
  </si>
  <si>
    <t xml:space="preserve">pecho (80% del tronco): piezas en el corte</t>
  </si>
  <si>
    <t xml:space="preserve">cintura (borde inferior chaleco): alto</t>
  </si>
  <si>
    <t xml:space="preserve">cintura (borde inferior chaleco): ancho sección central</t>
  </si>
  <si>
    <t xml:space="preserve">cintura (borde inferior chaleco): fondo sección central</t>
  </si>
  <si>
    <t xml:space="preserve">cintura (borde inferior chaleco): contorno sección central</t>
  </si>
  <si>
    <t xml:space="preserve">cintura (borde inferior chaleco): ancho total silueta (incl. brazos)</t>
  </si>
  <si>
    <t xml:space="preserve">cintura (borde inferior chaleco): piezas en el corte</t>
  </si>
  <si>
    <t xml:space="preserve">cadera (entre cintura y entrepierna): alto</t>
  </si>
  <si>
    <t xml:space="preserve">cadera (entre cintura y entrepierna): ancho sección central</t>
  </si>
  <si>
    <t xml:space="preserve">cadera (entre cintura y entrepierna): fondo sección central</t>
  </si>
  <si>
    <t xml:space="preserve">cadera (entre cintura y entrepierna): contorno sección central</t>
  </si>
  <si>
    <t xml:space="preserve">cadera (entre cintura y entrepierna): ancho total silueta (incl. brazos)</t>
  </si>
  <si>
    <t xml:space="preserve">cadera (entre cintura y entrepierna): piezas en el corte</t>
  </si>
  <si>
    <t xml:space="preserve">cuello (1% bajo la base de la cabeza): alto</t>
  </si>
  <si>
    <t xml:space="preserve">cuello (1% bajo la base de la cabeza): ancho sección central</t>
  </si>
  <si>
    <t xml:space="preserve">cuello (1% bajo la base de la cabeza): fondo sección central</t>
  </si>
  <si>
    <t xml:space="preserve">cuello (1% bajo la base de la cabeza): contorno sección central</t>
  </si>
  <si>
    <t xml:space="preserve">cuello (1% bajo la base de la cabeza): ancho total silueta (incl. brazos)</t>
  </si>
  <si>
    <t xml:space="preserve">cuello (1% bajo la base de la cabeza): piezas en el corte</t>
  </si>
  <si>
    <t xml:space="preserve">manos</t>
  </si>
  <si>
    <t xml:space="preserve">mano izq largo (muñeca→punta, X)</t>
  </si>
  <si>
    <t xml:space="preserve">mano izq ancho (Z)</t>
  </si>
  <si>
    <t xml:space="preserve">mano izq grosor (Y)</t>
  </si>
  <si>
    <t xml:space="preserve">brazos</t>
  </si>
  <si>
    <t xml:space="preserve">brazo izq punta de dedos (X desde centro)</t>
  </si>
  <si>
    <t xml:space="preserve">brazo izq muñeca (X desde centro)</t>
  </si>
  <si>
    <t xml:space="preserve">brazo izq largo (borde de chaleco→punta)</t>
  </si>
  <si>
    <t xml:space="preserve">brazo izq largo sin mano</t>
  </si>
  <si>
    <t xml:space="preserve">manga izq alto (Y) máx</t>
  </si>
  <si>
    <t xml:space="preserve">manga izq fondo (Z) máx</t>
  </si>
  <si>
    <t xml:space="preserve">brazo izq altura del eje (centro Y)</t>
  </si>
  <si>
    <t xml:space="preserve">manga izq tope (alto)</t>
  </si>
  <si>
    <t xml:space="preserve">axila izq (bajo de manga, alto)</t>
  </si>
  <si>
    <t xml:space="preserve">brazo izq sección a 30%: alto</t>
  </si>
  <si>
    <t xml:space="preserve">brazo izq sección a 30%: fondo</t>
  </si>
  <si>
    <t xml:space="preserve">brazo izq sección a 30%: contorno</t>
  </si>
  <si>
    <t xml:space="preserve">brazo izq sección a 60%: alto</t>
  </si>
  <si>
    <t xml:space="preserve">brazo izq sección a 60%: fondo</t>
  </si>
  <si>
    <t xml:space="preserve">brazo izq sección a 60%: contorno</t>
  </si>
  <si>
    <t xml:space="preserve">envergadura (punta a punta)</t>
  </si>
  <si>
    <t xml:space="preserve">mano der largo (muñeca→punta, X)</t>
  </si>
  <si>
    <t xml:space="preserve">mano der ancho (Z)</t>
  </si>
  <si>
    <t xml:space="preserve">mano der grosor (Y)</t>
  </si>
  <si>
    <t xml:space="preserve">brazo der punta de dedos (X desde centro)</t>
  </si>
  <si>
    <t xml:space="preserve">brazo der muñeca (X desde centro)</t>
  </si>
  <si>
    <t xml:space="preserve">brazo der largo (borde de chaleco→punta)</t>
  </si>
  <si>
    <t xml:space="preserve">brazo der largo sin mano</t>
  </si>
  <si>
    <t xml:space="preserve">manga der alto (Y) máx</t>
  </si>
  <si>
    <t xml:space="preserve">manga der fondo (Z) máx</t>
  </si>
  <si>
    <t xml:space="preserve">brazo der altura del eje (centro Y)</t>
  </si>
  <si>
    <t xml:space="preserve">manga der tope (alto)</t>
  </si>
  <si>
    <t xml:space="preserve">axila der (bajo de manga, alto)</t>
  </si>
  <si>
    <t xml:space="preserve">brazo der sección a 30%: alto</t>
  </si>
  <si>
    <t xml:space="preserve">brazo der sección a 30%: fondo</t>
  </si>
  <si>
    <t xml:space="preserve">brazo der sección a 30%: contorno</t>
  </si>
  <si>
    <t xml:space="preserve">brazo der sección a 60%: alto</t>
  </si>
  <si>
    <t xml:space="preserve">brazo der sección a 60%: fondo</t>
  </si>
  <si>
    <t xml:space="preserve">brazo der sección a 60%: contorno</t>
  </si>
  <si>
    <t xml:space="preserve">corbata</t>
  </si>
  <si>
    <t xml:space="preserve">punta superior (alto)</t>
  </si>
  <si>
    <t xml:space="preserve">punta inferior (alto)</t>
  </si>
  <si>
    <t xml:space="preserve">largo</t>
  </si>
  <si>
    <t xml:space="preserve">mano izq punta (alto)</t>
  </si>
  <si>
    <t xml:space="preserve">mano izq muñeca / tope de piel (alto)</t>
  </si>
  <si>
    <t xml:space="preserve">mano izq largo (Y)</t>
  </si>
  <si>
    <t xml:space="preserve">mano izq ancho (X)</t>
  </si>
  <si>
    <t xml:space="preserve">mano izq fondo (Z)</t>
  </si>
  <si>
    <t xml:space="preserve">mano izq X exterior</t>
  </si>
  <si>
    <t xml:space="preserve">hombro izq (tope de manga, alto)</t>
  </si>
  <si>
    <t xml:space="preserve">manga izq puño (bajo de manga, alto)</t>
  </si>
  <si>
    <t xml:space="preserve">manga izq largo vertical</t>
  </si>
  <si>
    <t xml:space="preserve">manga izq ancho (X)</t>
  </si>
  <si>
    <t xml:space="preserve">manga izq fondo (Z)</t>
  </si>
  <si>
    <t xml:space="preserve">brazo izq largo vertical (hombro→punta)</t>
  </si>
  <si>
    <t xml:space="preserve">mano der punta (alto)</t>
  </si>
  <si>
    <t xml:space="preserve">mano der muñeca / tope de piel (alto)</t>
  </si>
  <si>
    <t xml:space="preserve">mano der largo (Y)</t>
  </si>
  <si>
    <t xml:space="preserve">mano der ancho (X)</t>
  </si>
  <si>
    <t xml:space="preserve">mano der fondo (Z)</t>
  </si>
  <si>
    <t xml:space="preserve">mano der X exterior</t>
  </si>
  <si>
    <t xml:space="preserve">hombro der (tope de manga, alto)</t>
  </si>
  <si>
    <t xml:space="preserve">manga der puño (bajo de manga, alto)</t>
  </si>
  <si>
    <t xml:space="preserve">manga der largo vertical</t>
  </si>
  <si>
    <t xml:space="preserve">manga der ancho (X)</t>
  </si>
  <si>
    <t xml:space="preserve">manga der fondo (Z)</t>
  </si>
  <si>
    <t xml:space="preserve">brazo der largo vertical (hombro→punta)</t>
  </si>
  <si>
    <t xml:space="preserve">ancho de hombros (silueta 4% bajo cuello)</t>
  </si>
  <si>
    <t xml:space="preserve">Medidas SAM 3D · Theo (joven_rubio)</t>
  </si>
  <si>
    <t xml:space="preserve">Altura de referencia (mm)</t>
  </si>
  <si>
    <t xml:space="preserve">← cámbiala (88 / 90 / 95 / 100) y todas las columnas en mm se reescalan</t>
  </si>
  <si>
    <t xml:space="preserve">• Fuente: refs/sam3d/theo/*.glb en la rama sam3d-proporciones-theo del repo (commit 4205858). Son 11 GLB del demo de SAM 3D de Meta.</t>
  </si>
  <si>
    <t xml:space="preserve">• Los GLB vienen normalizados a una caja unitaria, así que "valor_u" está en esa unidad. Cada modelo se escala por separado a la altura de referencia, sin cruzar datos entre modelos.</t>
  </si>
  <si>
    <t xml:space="preserve">• Eje Y = arriba, +Z = frente (la cara mira a +Z). El suelo (Y=0) es el punto más bajo de cada malla.</t>
  </si>
  <si>
    <t xml:space="preserve">• Las partes se separan por el color de la textura: cálido = pelo o piel, blanco = camisa, oscuro = chaleco, zapatos u ojos, azul = pantalón o corbata.</t>
  </si>
  <si>
    <t xml:space="preserve">• "Base de cabeza" = primera franja central (de arriba hacia abajo) donde domina la ropa, o sea el cuello de camisa. Todo lo de arriba cuenta como cabeza (incluye pelo y orejas).</t>
  </si>
  <si>
    <t xml:space="preserve">• Entrepierna: bajando desde la cintura, primera altura donde el corte horizontal ya no cruza el eje central X=0.</t>
  </si>
  <si>
    <t xml:space="preserve">• Contornos = perímetro real del corte de la malla en ese plano. En T-pose, el corte de "pecho" atraviesa los brazos y el contorno los incluye.</t>
  </si>
  <si>
    <t xml:space="preserve">• Las medidas de manos y brazos cambian según la pose: en T-pose se mide en X (horizontal) y en pose relajada en Y (vertical).</t>
  </si>
  <si>
    <t xml:space="preserve">• Como pediste, no se forzó que las medidas cuadren entre sí. Hay valores raros por pelo que tapa, sombras de la textura o piezas fundidas.</t>
  </si>
  <si>
    <t xml:space="preserve">Modelo</t>
  </si>
  <si>
    <t xml:space="preserve">Pose</t>
  </si>
  <si>
    <t xml:space="preserve">Tipo</t>
  </si>
  <si>
    <t xml:space="preserve">Estado / aviso</t>
  </si>
  <si>
    <t xml:space="preserve">Altura original (u)</t>
  </si>
  <si>
    <t xml:space="preserve">Triángulos</t>
  </si>
  <si>
    <t xml:space="preserve">2a3facb9-object_2</t>
  </si>
  <si>
    <t xml:space="preserve">Cuerpo completo</t>
  </si>
  <si>
    <t xml:space="preserve">Usado en el candidato AMARILLO</t>
  </si>
  <si>
    <t xml:space="preserve">2b65e967-object_0-1</t>
  </si>
  <si>
    <t xml:space="preserve">Relajada (brazos abajo)</t>
  </si>
  <si>
    <t xml:space="preserve">Toma extra, sin filtrar</t>
  </si>
  <si>
    <t xml:space="preserve">2f639739-object_1</t>
  </si>
  <si>
    <t xml:space="preserve">38448021-object_5</t>
  </si>
  <si>
    <t xml:space="preserve">Brazos a 45°</t>
  </si>
  <si>
    <t xml:space="preserve">Busto deformado (cabeza gigante, cuerpo corto)</t>
  </si>
  <si>
    <t xml:space="preserve">Sin pantalón azul: faltan piernas, pantalón y manos</t>
  </si>
  <si>
    <t xml:space="preserve">5dc9e0d5-object_0</t>
  </si>
  <si>
    <t xml:space="preserve">5ed925a3-object_2</t>
  </si>
  <si>
    <t xml:space="preserve">6e95d62d-object_4</t>
  </si>
  <si>
    <t xml:space="preserve">—</t>
  </si>
  <si>
    <t xml:space="preserve">Solo cabeza</t>
  </si>
  <si>
    <t xml:space="preserve">Solo medidas de cabeza; la base de cabeza queda en 0</t>
  </si>
  <si>
    <t xml:space="preserve">70ef0058-object_0</t>
  </si>
  <si>
    <t xml:space="preserve">Relajada (manos en bolsillos)</t>
  </si>
  <si>
    <t xml:space="preserve">80c13944-object_3</t>
  </si>
  <si>
    <t xml:space="preserve">a501b501-object_3</t>
  </si>
  <si>
    <t xml:space="preserve">Descartado en el README: pico de pelo muy alto descalibra la altura</t>
  </si>
  <si>
    <t xml:space="preserve">fba550bc-object_1</t>
  </si>
  <si>
    <t xml:space="preserve">Valor (u)</t>
  </si>
  <si>
    <t xml:space="preserve">Altura modelo (u)</t>
  </si>
  <si>
    <t xml:space="preserve">Fracción de altura</t>
  </si>
  <si>
    <t xml:space="preserve">mm a escala</t>
  </si>
  <si>
    <t xml:space="preserve">Sin unidad</t>
  </si>
  <si>
    <t xml:space="preserve">Mostrar</t>
  </si>
  <si>
    <t xml:space="preserve">% de altura</t>
  </si>
  <si>
    <t xml:space="preserve">Altura (mm)</t>
  </si>
  <si>
    <t xml:space="preserve">Ancho total (mm)</t>
  </si>
  <si>
    <t xml:space="preserve">Fondo total (mm)</t>
  </si>
  <si>
    <t xml:space="preserve">Piezas en el corte</t>
  </si>
  <si>
    <t xml:space="preserve">Ancho pieza central (mm)</t>
  </si>
  <si>
    <t xml:space="preserve">Fondo pieza central (mm)</t>
  </si>
  <si>
    <t xml:space="preserve">Contorno pieza central (mm)</t>
  </si>
  <si>
    <t xml:space="preserve">Contorno total (mm)</t>
  </si>
  <si>
    <t xml:space="preserve">Frente / lado / arriba de cada GLB (render propio con la textura)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</si>
</sst>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00"/>
    <numFmt numFmtId="167" formatCode="0.000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3A4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4A5C"/>
        <bgColor rgb="FF333399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A4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4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17</xdr:col>
      <xdr:colOff>142200</xdr:colOff>
      <xdr:row>61</xdr:row>
      <xdr:rowOff>75960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10537920" cy="1131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4"/>
    <col collapsed="false" customWidth="true" hidden="false" outlineLevel="0" max="13" min="3" style="0" width="10.5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"Escala: "&amp;Notas!B3&amp;" mm de altura por modelo · celdas vacías = esa medida no se pudo sacar en ese modelo"</f>
        <v>Escala: 95 mm de altura por modelo · celdas vacías = esa medida no se pudo sacar en ese modelo</v>
      </c>
    </row>
    <row r="3" customFormat="false" ht="15" hidden="false" customHeight="false" outlineLevel="0" collapsed="false">
      <c r="C3" s="3" t="s">
        <v>1</v>
      </c>
      <c r="G3" s="3" t="s">
        <v>2</v>
      </c>
      <c r="L3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customFormat="false" ht="15" hidden="false" customHeight="false" outlineLevel="0" collapsed="false">
      <c r="A5" s="5" t="s">
        <v>17</v>
      </c>
      <c r="B5" s="5" t="s">
        <v>18</v>
      </c>
      <c r="C5" s="6" t="n">
        <f aca="false">SUMIFS(Detalle!$I$2:$I$1370,Detalle!$A$2:$A$1370,"2a3facb9-object_2",Detalle!$B$2:$B$1370,$A5,Detalle!$C$2:$C$1370,$B5)</f>
        <v>95</v>
      </c>
      <c r="D5" s="6" t="n">
        <f aca="false">SUMIFS(Detalle!$I$2:$I$1370,Detalle!$A$2:$A$1370,"2f639739-object_1",Detalle!$B$2:$B$1370,$A5,Detalle!$C$2:$C$1370,$B5)</f>
        <v>95</v>
      </c>
      <c r="E5" s="6" t="n">
        <f aca="false">SUMIFS(Detalle!$I$2:$I$1370,Detalle!$A$2:$A$1370,"5dc9e0d5-object_0",Detalle!$B$2:$B$1370,$A5,Detalle!$C$2:$C$1370,$B5)</f>
        <v>95</v>
      </c>
      <c r="F5" s="6" t="n">
        <f aca="false">SUMIFS(Detalle!$I$2:$I$1370,Detalle!$A$2:$A$1370,"a501b501-object_3",Detalle!$B$2:$B$1370,$A5,Detalle!$C$2:$C$1370,$B5)</f>
        <v>95</v>
      </c>
      <c r="G5" s="6" t="n">
        <f aca="false">SUMIFS(Detalle!$I$2:$I$1370,Detalle!$A$2:$A$1370,"2b65e967-object_0-1",Detalle!$B$2:$B$1370,$A5,Detalle!$C$2:$C$1370,$B5)</f>
        <v>95</v>
      </c>
      <c r="H5" s="6" t="n">
        <f aca="false">SUMIFS(Detalle!$I$2:$I$1370,Detalle!$A$2:$A$1370,"5ed925a3-object_2",Detalle!$B$2:$B$1370,$A5,Detalle!$C$2:$C$1370,$B5)</f>
        <v>95</v>
      </c>
      <c r="I5" s="6" t="n">
        <f aca="false">SUMIFS(Detalle!$I$2:$I$1370,Detalle!$A$2:$A$1370,"70ef0058-object_0",Detalle!$B$2:$B$1370,$A5,Detalle!$C$2:$C$1370,$B5)</f>
        <v>95</v>
      </c>
      <c r="J5" s="6" t="n">
        <f aca="false">SUMIFS(Detalle!$I$2:$I$1370,Detalle!$A$2:$A$1370,"80c13944-object_3",Detalle!$B$2:$B$1370,$A5,Detalle!$C$2:$C$1370,$B5)</f>
        <v>95</v>
      </c>
      <c r="K5" s="6" t="n">
        <f aca="false">SUMIFS(Detalle!$I$2:$I$1370,Detalle!$A$2:$A$1370,"fba550bc-object_1",Detalle!$B$2:$B$1370,$A5,Detalle!$C$2:$C$1370,$B5)</f>
        <v>95</v>
      </c>
      <c r="L5" s="6" t="n">
        <f aca="false">SUMIFS(Detalle!$I$2:$I$1370,Detalle!$A$2:$A$1370,"38448021-object_5",Detalle!$B$2:$B$1370,$A5,Detalle!$C$2:$C$1370,$B5)</f>
        <v>95</v>
      </c>
      <c r="M5" s="6" t="n">
        <f aca="false">SUMIFS(Detalle!$I$2:$I$1370,Detalle!$A$2:$A$1370,"6e95d62d-object_4",Detalle!$B$2:$B$1370,$A5,Detalle!$C$2:$C$1370,$B5)</f>
        <v>95</v>
      </c>
    </row>
    <row r="6" customFormat="false" ht="15" hidden="false" customHeight="false" outlineLevel="0" collapsed="false">
      <c r="A6" s="5" t="s">
        <v>17</v>
      </c>
      <c r="B6" s="5" t="s">
        <v>19</v>
      </c>
      <c r="C6" s="6" t="n">
        <f aca="false">SUMIFS(Detalle!$I$2:$I$1370,Detalle!$A$2:$A$1370,"2a3facb9-object_2",Detalle!$B$2:$B$1370,$A6,Detalle!$C$2:$C$1370,$B6)</f>
        <v>98.8877500862817</v>
      </c>
      <c r="D6" s="6" t="n">
        <f aca="false">SUMIFS(Detalle!$I$2:$I$1370,Detalle!$A$2:$A$1370,"2f639739-object_1",Detalle!$B$2:$B$1370,$A6,Detalle!$C$2:$C$1370,$B6)</f>
        <v>79.0490723757405</v>
      </c>
      <c r="E6" s="6" t="n">
        <f aca="false">SUMIFS(Detalle!$I$2:$I$1370,Detalle!$A$2:$A$1370,"5dc9e0d5-object_0",Detalle!$B$2:$B$1370,$A6,Detalle!$C$2:$C$1370,$B6)</f>
        <v>101.393957523183</v>
      </c>
      <c r="F6" s="6" t="n">
        <f aca="false">SUMIFS(Detalle!$I$2:$I$1370,Detalle!$A$2:$A$1370,"a501b501-object_3",Detalle!$B$2:$B$1370,$A6,Detalle!$C$2:$C$1370,$B6)</f>
        <v>63.3539164608354</v>
      </c>
      <c r="G6" s="6" t="n">
        <f aca="false">SUMIFS(Detalle!$I$2:$I$1370,Detalle!$A$2:$A$1370,"2b65e967-object_0-1",Detalle!$B$2:$B$1370,$A6,Detalle!$C$2:$C$1370,$B6)</f>
        <v>50.1418777375738</v>
      </c>
      <c r="H6" s="6" t="n">
        <f aca="false">SUMIFS(Detalle!$I$2:$I$1370,Detalle!$A$2:$A$1370,"5ed925a3-object_2",Detalle!$B$2:$B$1370,$A6,Detalle!$C$2:$C$1370,$B6)</f>
        <v>46.3333133481224</v>
      </c>
      <c r="I6" s="6" t="n">
        <f aca="false">SUMIFS(Detalle!$I$2:$I$1370,Detalle!$A$2:$A$1370,"70ef0058-object_0",Detalle!$B$2:$B$1370,$A6,Detalle!$C$2:$C$1370,$B6)</f>
        <v>58.069129081648</v>
      </c>
      <c r="J6" s="6" t="n">
        <f aca="false">SUMIFS(Detalle!$I$2:$I$1370,Detalle!$A$2:$A$1370,"80c13944-object_3",Detalle!$B$2:$B$1370,$A6,Detalle!$C$2:$C$1370,$B6)</f>
        <v>49.2252207997915</v>
      </c>
      <c r="K6" s="6" t="n">
        <f aca="false">SUMIFS(Detalle!$I$2:$I$1370,Detalle!$A$2:$A$1370,"fba550bc-object_1",Detalle!$B$2:$B$1370,$A6,Detalle!$C$2:$C$1370,$B6)</f>
        <v>46.8245859808876</v>
      </c>
      <c r="L6" s="6" t="n">
        <f aca="false">SUMIFS(Detalle!$I$2:$I$1370,Detalle!$A$2:$A$1370,"38448021-object_5",Detalle!$B$2:$B$1370,$A6,Detalle!$C$2:$C$1370,$B6)</f>
        <v>91.5843806552886</v>
      </c>
      <c r="M6" s="6" t="n">
        <f aca="false">SUMIFS(Detalle!$I$2:$I$1370,Detalle!$A$2:$A$1370,"6e95d62d-object_4",Detalle!$B$2:$B$1370,$A6,Detalle!$C$2:$C$1370,$B6)</f>
        <v>127.663095630255</v>
      </c>
    </row>
    <row r="7" customFormat="false" ht="15" hidden="false" customHeight="false" outlineLevel="0" collapsed="false">
      <c r="A7" s="5" t="s">
        <v>17</v>
      </c>
      <c r="B7" s="5" t="s">
        <v>20</v>
      </c>
      <c r="C7" s="6" t="n">
        <f aca="false">SUMIFS(Detalle!$I$2:$I$1370,Detalle!$A$2:$A$1370,"2a3facb9-object_2",Detalle!$B$2:$B$1370,$A7,Detalle!$C$2:$C$1370,$B7)</f>
        <v>36.6807680642564</v>
      </c>
      <c r="D7" s="6" t="n">
        <f aca="false">SUMIFS(Detalle!$I$2:$I$1370,Detalle!$A$2:$A$1370,"2f639739-object_1",Detalle!$B$2:$B$1370,$A7,Detalle!$C$2:$C$1370,$B7)</f>
        <v>41.9530725361077</v>
      </c>
      <c r="E7" s="6" t="n">
        <f aca="false">SUMIFS(Detalle!$I$2:$I$1370,Detalle!$A$2:$A$1370,"5dc9e0d5-object_0",Detalle!$B$2:$B$1370,$A7,Detalle!$C$2:$C$1370,$B7)</f>
        <v>36.6566599717961</v>
      </c>
      <c r="F7" s="6" t="n">
        <f aca="false">SUMIFS(Detalle!$I$2:$I$1370,Detalle!$A$2:$A$1370,"a501b501-object_3",Detalle!$B$2:$B$1370,$A7,Detalle!$C$2:$C$1370,$B7)</f>
        <v>31.1207387926121</v>
      </c>
      <c r="G7" s="6" t="n">
        <f aca="false">SUMIFS(Detalle!$I$2:$I$1370,Detalle!$A$2:$A$1370,"2b65e967-object_0-1",Detalle!$B$2:$B$1370,$A7,Detalle!$C$2:$C$1370,$B7)</f>
        <v>37.7023424109693</v>
      </c>
      <c r="H7" s="6" t="n">
        <f aca="false">SUMIFS(Detalle!$I$2:$I$1370,Detalle!$A$2:$A$1370,"5ed925a3-object_2",Detalle!$B$2:$B$1370,$A7,Detalle!$C$2:$C$1370,$B7)</f>
        <v>43.182594879789</v>
      </c>
      <c r="I7" s="6" t="n">
        <f aca="false">SUMIFS(Detalle!$I$2:$I$1370,Detalle!$A$2:$A$1370,"70ef0058-object_0",Detalle!$B$2:$B$1370,$A7,Detalle!$C$2:$C$1370,$B7)</f>
        <v>40.3038657446787</v>
      </c>
      <c r="J7" s="6" t="n">
        <f aca="false">SUMIFS(Detalle!$I$2:$I$1370,Detalle!$A$2:$A$1370,"80c13944-object_3",Detalle!$B$2:$B$1370,$A7,Detalle!$C$2:$C$1370,$B7)</f>
        <v>38.8824673436858</v>
      </c>
      <c r="K7" s="6" t="n">
        <f aca="false">SUMIFS(Detalle!$I$2:$I$1370,Detalle!$A$2:$A$1370,"fba550bc-object_1",Detalle!$B$2:$B$1370,$A7,Detalle!$C$2:$C$1370,$B7)</f>
        <v>43.1647070595887</v>
      </c>
      <c r="L7" s="6" t="n">
        <f aca="false">SUMIFS(Detalle!$I$2:$I$1370,Detalle!$A$2:$A$1370,"38448021-object_5",Detalle!$B$2:$B$1370,$A7,Detalle!$C$2:$C$1370,$B7)</f>
        <v>73.3066378715618</v>
      </c>
      <c r="M7" s="6" t="n">
        <f aca="false">SUMIFS(Detalle!$I$2:$I$1370,Detalle!$A$2:$A$1370,"6e95d62d-object_4",Detalle!$B$2:$B$1370,$A7,Detalle!$C$2:$C$1370,$B7)</f>
        <v>135.977857664599</v>
      </c>
    </row>
    <row r="8" customFormat="false" ht="15" hidden="false" customHeight="false" outlineLevel="0" collapsed="false">
      <c r="A8" s="5" t="s">
        <v>17</v>
      </c>
      <c r="B8" s="5" t="s">
        <v>21</v>
      </c>
      <c r="C8" s="6" t="n">
        <f aca="false">SUMIFS(Detalle!$I$2:$I$1370,Detalle!$A$2:$A$1370,"2a3facb9-object_2",Detalle!$B$2:$B$1370,$A8,Detalle!$C$2:$C$1370,$B8)</f>
        <v>7681</v>
      </c>
      <c r="D8" s="6" t="n">
        <f aca="false">SUMIFS(Detalle!$I$2:$I$1370,Detalle!$A$2:$A$1370,"2f639739-object_1",Detalle!$B$2:$B$1370,$A8,Detalle!$C$2:$C$1370,$B8)</f>
        <v>8656</v>
      </c>
      <c r="E8" s="6" t="n">
        <f aca="false">SUMIFS(Detalle!$I$2:$I$1370,Detalle!$A$2:$A$1370,"5dc9e0d5-object_0",Detalle!$B$2:$B$1370,$A8,Detalle!$C$2:$C$1370,$B8)</f>
        <v>8996</v>
      </c>
      <c r="F8" s="6" t="n">
        <f aca="false">SUMIFS(Detalle!$I$2:$I$1370,Detalle!$A$2:$A$1370,"a501b501-object_3",Detalle!$B$2:$B$1370,$A8,Detalle!$C$2:$C$1370,$B8)</f>
        <v>5472</v>
      </c>
      <c r="G8" s="6" t="n">
        <f aca="false">SUMIFS(Detalle!$I$2:$I$1370,Detalle!$A$2:$A$1370,"2b65e967-object_0-1",Detalle!$B$2:$B$1370,$A8,Detalle!$C$2:$C$1370,$B8)</f>
        <v>9733</v>
      </c>
      <c r="H8" s="6" t="n">
        <f aca="false">SUMIFS(Detalle!$I$2:$I$1370,Detalle!$A$2:$A$1370,"5ed925a3-object_2",Detalle!$B$2:$B$1370,$A8,Detalle!$C$2:$C$1370,$B8)</f>
        <v>7548</v>
      </c>
      <c r="I8" s="6" t="n">
        <f aca="false">SUMIFS(Detalle!$I$2:$I$1370,Detalle!$A$2:$A$1370,"70ef0058-object_0",Detalle!$B$2:$B$1370,$A8,Detalle!$C$2:$C$1370,$B8)</f>
        <v>9014</v>
      </c>
      <c r="J8" s="6" t="n">
        <f aca="false">SUMIFS(Detalle!$I$2:$I$1370,Detalle!$A$2:$A$1370,"80c13944-object_3",Detalle!$B$2:$B$1370,$A8,Detalle!$C$2:$C$1370,$B8)</f>
        <v>9848</v>
      </c>
      <c r="K8" s="6" t="n">
        <f aca="false">SUMIFS(Detalle!$I$2:$I$1370,Detalle!$A$2:$A$1370,"fba550bc-object_1",Detalle!$B$2:$B$1370,$A8,Detalle!$C$2:$C$1370,$B8)</f>
        <v>9289</v>
      </c>
      <c r="L8" s="6" t="n">
        <f aca="false">SUMIFS(Detalle!$I$2:$I$1370,Detalle!$A$2:$A$1370,"38448021-object_5",Detalle!$B$2:$B$1370,$A8,Detalle!$C$2:$C$1370,$B8)</f>
        <v>14198</v>
      </c>
      <c r="M8" s="6" t="n">
        <f aca="false">SUMIFS(Detalle!$I$2:$I$1370,Detalle!$A$2:$A$1370,"6e95d62d-object_4",Detalle!$B$2:$B$1370,$A8,Detalle!$C$2:$C$1370,$B8)</f>
        <v>11738</v>
      </c>
    </row>
    <row r="9" customFormat="false" ht="15" hidden="false" customHeight="false" outlineLevel="0" collapsed="false">
      <c r="A9" s="5" t="s">
        <v>17</v>
      </c>
      <c r="B9" s="5" t="s">
        <v>22</v>
      </c>
      <c r="C9" s="6" t="n">
        <f aca="false">SUMIFS(Detalle!$I$2:$I$1370,Detalle!$A$2:$A$1370,"2a3facb9-object_2",Detalle!$B$2:$B$1370,$A9,Detalle!$C$2:$C$1370,$B9)</f>
        <v>3841</v>
      </c>
      <c r="D9" s="6" t="n">
        <f aca="false">SUMIFS(Detalle!$I$2:$I$1370,Detalle!$A$2:$A$1370,"2f639739-object_1",Detalle!$B$2:$B$1370,$A9,Detalle!$C$2:$C$1370,$B9)</f>
        <v>4328</v>
      </c>
      <c r="E9" s="6" t="n">
        <f aca="false">SUMIFS(Detalle!$I$2:$I$1370,Detalle!$A$2:$A$1370,"5dc9e0d5-object_0",Detalle!$B$2:$B$1370,$A9,Detalle!$C$2:$C$1370,$B9)</f>
        <v>4493</v>
      </c>
      <c r="F9" s="6" t="n">
        <f aca="false">SUMIFS(Detalle!$I$2:$I$1370,Detalle!$A$2:$A$1370,"a501b501-object_3",Detalle!$B$2:$B$1370,$A9,Detalle!$C$2:$C$1370,$B9)</f>
        <v>2736</v>
      </c>
      <c r="G9" s="6" t="n">
        <f aca="false">SUMIFS(Detalle!$I$2:$I$1370,Detalle!$A$2:$A$1370,"2b65e967-object_0-1",Detalle!$B$2:$B$1370,$A9,Detalle!$C$2:$C$1370,$B9)</f>
        <v>4861</v>
      </c>
      <c r="H9" s="6" t="n">
        <f aca="false">SUMIFS(Detalle!$I$2:$I$1370,Detalle!$A$2:$A$1370,"5ed925a3-object_2",Detalle!$B$2:$B$1370,$A9,Detalle!$C$2:$C$1370,$B9)</f>
        <v>3773</v>
      </c>
      <c r="I9" s="6" t="n">
        <f aca="false">SUMIFS(Detalle!$I$2:$I$1370,Detalle!$A$2:$A$1370,"70ef0058-object_0",Detalle!$B$2:$B$1370,$A9,Detalle!$C$2:$C$1370,$B9)</f>
        <v>4505</v>
      </c>
      <c r="J9" s="6" t="n">
        <f aca="false">SUMIFS(Detalle!$I$2:$I$1370,Detalle!$A$2:$A$1370,"80c13944-object_3",Detalle!$B$2:$B$1370,$A9,Detalle!$C$2:$C$1370,$B9)</f>
        <v>4922</v>
      </c>
      <c r="K9" s="6" t="n">
        <f aca="false">SUMIFS(Detalle!$I$2:$I$1370,Detalle!$A$2:$A$1370,"fba550bc-object_1",Detalle!$B$2:$B$1370,$A9,Detalle!$C$2:$C$1370,$B9)</f>
        <v>4641</v>
      </c>
      <c r="L9" s="6" t="n">
        <f aca="false">SUMIFS(Detalle!$I$2:$I$1370,Detalle!$A$2:$A$1370,"38448021-object_5",Detalle!$B$2:$B$1370,$A9,Detalle!$C$2:$C$1370,$B9)</f>
        <v>7101</v>
      </c>
      <c r="M9" s="6" t="n">
        <f aca="false">SUMIFS(Detalle!$I$2:$I$1370,Detalle!$A$2:$A$1370,"6e95d62d-object_4",Detalle!$B$2:$B$1370,$A9,Detalle!$C$2:$C$1370,$B9)</f>
        <v>5871</v>
      </c>
    </row>
    <row r="10" customFormat="false" ht="15" hidden="false" customHeight="false" outlineLevel="0" collapsed="false">
      <c r="A10" s="5" t="s">
        <v>17</v>
      </c>
      <c r="B10" s="5" t="s">
        <v>23</v>
      </c>
      <c r="C10" s="6" t="n">
        <f aca="false">SUMIFS(Detalle!$I$2:$I$1370,Detalle!$A$2:$A$1370,"2a3facb9-object_2",Detalle!$B$2:$B$1370,$A10,Detalle!$C$2:$C$1370,$B10)</f>
        <v>1.52798</v>
      </c>
      <c r="D10" s="6" t="n">
        <f aca="false">SUMIFS(Detalle!$I$2:$I$1370,Detalle!$A$2:$A$1370,"2f639739-object_1",Detalle!$B$2:$B$1370,$A10,Detalle!$C$2:$C$1370,$B10)</f>
        <v>1.60298</v>
      </c>
      <c r="E10" s="6" t="n">
        <f aca="false">SUMIFS(Detalle!$I$2:$I$1370,Detalle!$A$2:$A$1370,"5dc9e0d5-object_0",Detalle!$B$2:$B$1370,$A10,Detalle!$C$2:$C$1370,$B10)</f>
        <v>1.52378</v>
      </c>
      <c r="F10" s="6" t="n">
        <f aca="false">SUMIFS(Detalle!$I$2:$I$1370,Detalle!$A$2:$A$1370,"a501b501-object_3",Detalle!$B$2:$B$1370,$A10,Detalle!$C$2:$C$1370,$B10)</f>
        <v>0.95616</v>
      </c>
      <c r="G10" s="6" t="n">
        <f aca="false">SUMIFS(Detalle!$I$2:$I$1370,Detalle!$A$2:$A$1370,"2b65e967-object_0-1",Detalle!$B$2:$B$1370,$A10,Detalle!$C$2:$C$1370,$B10)</f>
        <v>1.68257</v>
      </c>
      <c r="H10" s="6" t="n">
        <f aca="false">SUMIFS(Detalle!$I$2:$I$1370,Detalle!$A$2:$A$1370,"5ed925a3-object_2",Detalle!$B$2:$B$1370,$A10,Detalle!$C$2:$C$1370,$B10)</f>
        <v>1.44833</v>
      </c>
      <c r="I10" s="6" t="n">
        <f aca="false">SUMIFS(Detalle!$I$2:$I$1370,Detalle!$A$2:$A$1370,"70ef0058-object_0",Detalle!$B$2:$B$1370,$A10,Detalle!$C$2:$C$1370,$B10)</f>
        <v>1.69059</v>
      </c>
      <c r="J10" s="6" t="n">
        <f aca="false">SUMIFS(Detalle!$I$2:$I$1370,Detalle!$A$2:$A$1370,"80c13944-object_3",Detalle!$B$2:$B$1370,$A10,Detalle!$C$2:$C$1370,$B10)</f>
        <v>1.66565</v>
      </c>
      <c r="K10" s="6" t="n">
        <f aca="false">SUMIFS(Detalle!$I$2:$I$1370,Detalle!$A$2:$A$1370,"fba550bc-object_1",Detalle!$B$2:$B$1370,$A10,Detalle!$C$2:$C$1370,$B10)</f>
        <v>1.59836</v>
      </c>
      <c r="L10" s="6" t="n">
        <f aca="false">SUMIFS(Detalle!$I$2:$I$1370,Detalle!$A$2:$A$1370,"38448021-object_5",Detalle!$B$2:$B$1370,$A10,Detalle!$C$2:$C$1370,$B10)</f>
        <v>2.9149</v>
      </c>
      <c r="M10" s="6" t="n">
        <f aca="false">SUMIFS(Detalle!$I$2:$I$1370,Detalle!$A$2:$A$1370,"6e95d62d-object_4",Detalle!$B$2:$B$1370,$A10,Detalle!$C$2:$C$1370,$B10)</f>
        <v>3.05969</v>
      </c>
    </row>
    <row r="11" customFormat="false" ht="15" hidden="false" customHeight="false" outlineLevel="0" collapsed="false">
      <c r="A11" s="5" t="s">
        <v>17</v>
      </c>
      <c r="B11" s="5" t="s">
        <v>24</v>
      </c>
      <c r="C11" s="6" t="n">
        <f aca="false">SUMIFS(Detalle!$I$2:$I$1370,Detalle!$A$2:$A$1370,"2a3facb9-object_2",Detalle!$B$2:$B$1370,$A11,Detalle!$C$2:$C$1370,$B11)</f>
        <v>0.05452</v>
      </c>
      <c r="D11" s="6" t="n">
        <f aca="false">SUMIFS(Detalle!$I$2:$I$1370,Detalle!$A$2:$A$1370,"2f639739-object_1",Detalle!$B$2:$B$1370,$A11,Detalle!$C$2:$C$1370,$B11)</f>
        <v>0.06099</v>
      </c>
      <c r="E11" s="6" t="n">
        <f aca="false">SUMIFS(Detalle!$I$2:$I$1370,Detalle!$A$2:$A$1370,"5dc9e0d5-object_0",Detalle!$B$2:$B$1370,$A11,Detalle!$C$2:$C$1370,$B11)</f>
        <v>0.05615</v>
      </c>
      <c r="F11" s="6" t="n">
        <f aca="false">SUMIFS(Detalle!$I$2:$I$1370,Detalle!$A$2:$A$1370,"a501b501-object_3",Detalle!$B$2:$B$1370,$A11,Detalle!$C$2:$C$1370,$B11)</f>
        <v>0.02755</v>
      </c>
      <c r="G11" s="6" t="n">
        <f aca="false">SUMIFS(Detalle!$I$2:$I$1370,Detalle!$A$2:$A$1370,"2b65e967-object_0-1",Detalle!$B$2:$B$1370,$A11,Detalle!$C$2:$C$1370,$B11)</f>
        <v>0.05312</v>
      </c>
      <c r="H11" s="6" t="n">
        <f aca="false">SUMIFS(Detalle!$I$2:$I$1370,Detalle!$A$2:$A$1370,"5ed925a3-object_2",Detalle!$B$2:$B$1370,$A11,Detalle!$C$2:$C$1370,$B11)</f>
        <v>0.05484</v>
      </c>
      <c r="I11" s="6" t="n">
        <f aca="false">SUMIFS(Detalle!$I$2:$I$1370,Detalle!$A$2:$A$1370,"70ef0058-object_0",Detalle!$B$2:$B$1370,$A11,Detalle!$C$2:$C$1370,$B11)</f>
        <v>0.06921</v>
      </c>
      <c r="J11" s="6" t="n">
        <f aca="false">SUMIFS(Detalle!$I$2:$I$1370,Detalle!$A$2:$A$1370,"80c13944-object_3",Detalle!$B$2:$B$1370,$A11,Detalle!$C$2:$C$1370,$B11)</f>
        <v>0.05386</v>
      </c>
      <c r="K11" s="6" t="n">
        <f aca="false">SUMIFS(Detalle!$I$2:$I$1370,Detalle!$A$2:$A$1370,"fba550bc-object_1",Detalle!$B$2:$B$1370,$A11,Detalle!$C$2:$C$1370,$B11)</f>
        <v>0.05682</v>
      </c>
      <c r="L11" s="6" t="n">
        <f aca="false">SUMIFS(Detalle!$I$2:$I$1370,Detalle!$A$2:$A$1370,"38448021-object_5",Detalle!$B$2:$B$1370,$A11,Detalle!$C$2:$C$1370,$B11)</f>
        <v>0.20608</v>
      </c>
      <c r="M11" s="6" t="n">
        <f aca="false">SUMIFS(Detalle!$I$2:$I$1370,Detalle!$A$2:$A$1370,"6e95d62d-object_4",Detalle!$B$2:$B$1370,$A11,Detalle!$C$2:$C$1370,$B11)</f>
        <v>0.25498</v>
      </c>
    </row>
    <row r="12" customFormat="false" ht="15" hidden="false" customHeight="false" outlineLevel="0" collapsed="false">
      <c r="A12" s="7" t="s">
        <v>25</v>
      </c>
      <c r="B12" s="7" t="s">
        <v>26</v>
      </c>
      <c r="C12" s="8" t="n">
        <f aca="false">SUMIFS(Detalle!$I$2:$I$1370,Detalle!$A$2:$A$1370,"2a3facb9-object_2",Detalle!$B$2:$B$1370,$A12,Detalle!$C$2:$C$1370,$B12)</f>
        <v>50.94077</v>
      </c>
      <c r="D12" s="8" t="n">
        <f aca="false">SUMIFS(Detalle!$I$2:$I$1370,Detalle!$A$2:$A$1370,"2f639739-object_1",Detalle!$B$2:$B$1370,$A12,Detalle!$C$2:$C$1370,$B12)</f>
        <v>57.74323</v>
      </c>
      <c r="E12" s="8" t="n">
        <f aca="false">SUMIFS(Detalle!$I$2:$I$1370,Detalle!$A$2:$A$1370,"5dc9e0d5-object_0",Detalle!$B$2:$B$1370,$A12,Detalle!$C$2:$C$1370,$B12)</f>
        <v>54.33839</v>
      </c>
      <c r="F12" s="8" t="n">
        <f aca="false">SUMIFS(Detalle!$I$2:$I$1370,Detalle!$A$2:$A$1370,"a501b501-object_3",Detalle!$B$2:$B$1370,$A12,Detalle!$C$2:$C$1370,$B12)</f>
        <v>58.90568</v>
      </c>
      <c r="G12" s="8" t="n">
        <f aca="false">SUMIFS(Detalle!$I$2:$I$1370,Detalle!$A$2:$A$1370,"2b65e967-object_0-1",Detalle!$B$2:$B$1370,$A12,Detalle!$C$2:$C$1370,$B12)</f>
        <v>53.29167</v>
      </c>
      <c r="H12" s="8" t="n">
        <f aca="false">SUMIFS(Detalle!$I$2:$I$1370,Detalle!$A$2:$A$1370,"5ed925a3-object_2",Detalle!$B$2:$B$1370,$A12,Detalle!$C$2:$C$1370,$B12)</f>
        <v>56.83707</v>
      </c>
      <c r="I12" s="8" t="n">
        <f aca="false">SUMIFS(Detalle!$I$2:$I$1370,Detalle!$A$2:$A$1370,"70ef0058-object_0",Detalle!$B$2:$B$1370,$A12,Detalle!$C$2:$C$1370,$B12)</f>
        <v>59.15974</v>
      </c>
      <c r="J12" s="8" t="n">
        <f aca="false">SUMIFS(Detalle!$I$2:$I$1370,Detalle!$A$2:$A$1370,"80c13944-object_3",Detalle!$B$2:$B$1370,$A12,Detalle!$C$2:$C$1370,$B12)</f>
        <v>54.69215</v>
      </c>
      <c r="K12" s="8" t="n">
        <f aca="false">SUMIFS(Detalle!$I$2:$I$1370,Detalle!$A$2:$A$1370,"fba550bc-object_1",Detalle!$B$2:$B$1370,$A12,Detalle!$C$2:$C$1370,$B12)</f>
        <v>63.07858</v>
      </c>
      <c r="L12" s="8" t="n">
        <f aca="false">SUMIFS(Detalle!$I$2:$I$1370,Detalle!$A$2:$A$1370,"38448021-object_5",Detalle!$B$2:$B$1370,$A12,Detalle!$C$2:$C$1370,$B12)</f>
        <v>83.42761</v>
      </c>
      <c r="M12" s="8" t="n">
        <f aca="false">SUMIFS(Detalle!$I$2:$I$1370,Detalle!$A$2:$A$1370,"6e95d62d-object_4",Detalle!$B$2:$B$1370,$A12,Detalle!$C$2:$C$1370,$B12)</f>
        <v>91.39934</v>
      </c>
    </row>
    <row r="13" customFormat="false" ht="15" hidden="false" customHeight="false" outlineLevel="0" collapsed="false">
      <c r="A13" s="7" t="s">
        <v>25</v>
      </c>
      <c r="B13" s="7" t="s">
        <v>27</v>
      </c>
      <c r="C13" s="8" t="n">
        <f aca="false">SUMIFS(Detalle!$I$2:$I$1370,Detalle!$A$2:$A$1370,"2a3facb9-object_2",Detalle!$B$2:$B$1370,$A13,Detalle!$C$2:$C$1370,$B13)</f>
        <v>10.21058</v>
      </c>
      <c r="D13" s="8" t="n">
        <f aca="false">SUMIFS(Detalle!$I$2:$I$1370,Detalle!$A$2:$A$1370,"2f639739-object_1",Detalle!$B$2:$B$1370,$A13,Detalle!$C$2:$C$1370,$B13)</f>
        <v>10.26021</v>
      </c>
      <c r="E13" s="8" t="n">
        <f aca="false">SUMIFS(Detalle!$I$2:$I$1370,Detalle!$A$2:$A$1370,"5dc9e0d5-object_0",Detalle!$B$2:$B$1370,$A13,Detalle!$C$2:$C$1370,$B13)</f>
        <v>9.86556</v>
      </c>
      <c r="F13" s="8" t="n">
        <f aca="false">SUMIFS(Detalle!$I$2:$I$1370,Detalle!$A$2:$A$1370,"a501b501-object_3",Detalle!$B$2:$B$1370,$A13,Detalle!$C$2:$C$1370,$B13)</f>
        <v>10.47675</v>
      </c>
      <c r="G13" s="8" t="n">
        <f aca="false">SUMIFS(Detalle!$I$2:$I$1370,Detalle!$A$2:$A$1370,"2b65e967-object_0-1",Detalle!$B$2:$B$1370,$A13,Detalle!$C$2:$C$1370,$B13)</f>
        <v>7.16016</v>
      </c>
      <c r="H13" s="8" t="n">
        <f aca="false">SUMIFS(Detalle!$I$2:$I$1370,Detalle!$A$2:$A$1370,"5ed925a3-object_2",Detalle!$B$2:$B$1370,$A13,Detalle!$C$2:$C$1370,$B13)</f>
        <v>7.76347</v>
      </c>
      <c r="I13" s="8" t="n">
        <f aca="false">SUMIFS(Detalle!$I$2:$I$1370,Detalle!$A$2:$A$1370,"70ef0058-object_0",Detalle!$B$2:$B$1370,$A13,Detalle!$C$2:$C$1370,$B13)</f>
        <v>8.06698</v>
      </c>
      <c r="J13" s="8" t="n">
        <f aca="false">SUMIFS(Detalle!$I$2:$I$1370,Detalle!$A$2:$A$1370,"80c13944-object_3",Detalle!$B$2:$B$1370,$A13,Detalle!$C$2:$C$1370,$B13)</f>
        <v>7.19519</v>
      </c>
      <c r="K13" s="8" t="n">
        <f aca="false">SUMIFS(Detalle!$I$2:$I$1370,Detalle!$A$2:$A$1370,"fba550bc-object_1",Detalle!$B$2:$B$1370,$A13,Detalle!$C$2:$C$1370,$B13)</f>
        <v>7.8189</v>
      </c>
      <c r="L13" s="8" t="n">
        <f aca="false">SUMIFS(Detalle!$I$2:$I$1370,Detalle!$A$2:$A$1370,"38448021-object_5",Detalle!$B$2:$B$1370,$A13,Detalle!$C$2:$C$1370,$B13)</f>
        <v>7.13803</v>
      </c>
      <c r="M13" s="8" t="n">
        <f aca="false">SUMIFS(Detalle!$I$2:$I$1370,Detalle!$A$2:$A$1370,"6e95d62d-object_4",Detalle!$B$2:$B$1370,$A13,Detalle!$C$2:$C$1370,$B13)</f>
        <v>0</v>
      </c>
    </row>
    <row r="14" customFormat="false" ht="15" hidden="false" customHeight="false" outlineLevel="0" collapsed="false">
      <c r="A14" s="7" t="s">
        <v>25</v>
      </c>
      <c r="B14" s="7" t="s">
        <v>28</v>
      </c>
      <c r="C14" s="8" t="n">
        <f aca="false">SUMIFS(Detalle!$I$2:$I$1370,Detalle!$A$2:$A$1370,"2a3facb9-object_2",Detalle!$B$2:$B$1370,$A14,Detalle!$C$2:$C$1370,$B14)</f>
        <v>29.81625</v>
      </c>
      <c r="D14" s="8" t="n">
        <f aca="false">SUMIFS(Detalle!$I$2:$I$1370,Detalle!$A$2:$A$1370,"2f639739-object_1",Detalle!$B$2:$B$1370,$A14,Detalle!$C$2:$C$1370,$B14)</f>
        <v>25.94493</v>
      </c>
      <c r="E14" s="8" t="n">
        <f aca="false">SUMIFS(Detalle!$I$2:$I$1370,Detalle!$A$2:$A$1370,"5dc9e0d5-object_0",Detalle!$B$2:$B$1370,$A14,Detalle!$C$2:$C$1370,$B14)</f>
        <v>31.75727</v>
      </c>
      <c r="F14" s="8" t="n">
        <f aca="false">SUMIFS(Detalle!$I$2:$I$1370,Detalle!$A$2:$A$1370,"a501b501-object_3",Detalle!$B$2:$B$1370,$A14,Detalle!$C$2:$C$1370,$B14)</f>
        <v>17.55764</v>
      </c>
      <c r="G14" s="8" t="n">
        <f aca="false">SUMIFS(Detalle!$I$2:$I$1370,Detalle!$A$2:$A$1370,"2b65e967-object_0-1",Detalle!$B$2:$B$1370,$A14,Detalle!$C$2:$C$1370,$B14)</f>
        <v>30.7105</v>
      </c>
      <c r="H14" s="8" t="n">
        <f aca="false">SUMIFS(Detalle!$I$2:$I$1370,Detalle!$A$2:$A$1370,"5ed925a3-object_2",Detalle!$B$2:$B$1370,$A14,Detalle!$C$2:$C$1370,$B14)</f>
        <v>26.12954</v>
      </c>
      <c r="I14" s="8" t="n">
        <f aca="false">SUMIFS(Detalle!$I$2:$I$1370,Detalle!$A$2:$A$1370,"70ef0058-object_0",Detalle!$B$2:$B$1370,$A14,Detalle!$C$2:$C$1370,$B14)</f>
        <v>25.89858</v>
      </c>
      <c r="J14" s="8" t="n">
        <f aca="false">SUMIFS(Detalle!$I$2:$I$1370,Detalle!$A$2:$A$1370,"80c13944-object_3",Detalle!$B$2:$B$1370,$A14,Detalle!$C$2:$C$1370,$B14)</f>
        <v>28.93641</v>
      </c>
      <c r="K14" s="8" t="n">
        <f aca="false">SUMIFS(Detalle!$I$2:$I$1370,Detalle!$A$2:$A$1370,"fba550bc-object_1",Detalle!$B$2:$B$1370,$A14,Detalle!$C$2:$C$1370,$B14)</f>
        <v>22.05436</v>
      </c>
      <c r="L14" s="8" t="n">
        <f aca="false">SUMIFS(Detalle!$I$2:$I$1370,Detalle!$A$2:$A$1370,"38448021-object_5",Detalle!$B$2:$B$1370,$A14,Detalle!$C$2:$C$1370,$B14)</f>
        <v>9.15431</v>
      </c>
      <c r="M14" s="8" t="n">
        <f aca="false">SUMIFS(Detalle!$I$2:$I$1370,Detalle!$A$2:$A$1370,"6e95d62d-object_4",Detalle!$B$2:$B$1370,$A14,Detalle!$C$2:$C$1370,$B14)</f>
        <v>8.60066</v>
      </c>
    </row>
    <row r="15" customFormat="false" ht="15" hidden="false" customHeight="false" outlineLevel="0" collapsed="false">
      <c r="A15" s="7" t="s">
        <v>25</v>
      </c>
      <c r="B15" s="7" t="s">
        <v>29</v>
      </c>
      <c r="C15" s="8" t="n">
        <f aca="false">SUMIFS(Detalle!$I$2:$I$1370,Detalle!$A$2:$A$1370,"2a3facb9-object_2",Detalle!$B$2:$B$1370,$A15,Detalle!$C$2:$C$1370,$B15)</f>
        <v>9.0324</v>
      </c>
      <c r="D15" s="8" t="n">
        <f aca="false">SUMIFS(Detalle!$I$2:$I$1370,Detalle!$A$2:$A$1370,"2f639739-object_1",Detalle!$B$2:$B$1370,$A15,Detalle!$C$2:$C$1370,$B15)</f>
        <v>6.05163</v>
      </c>
      <c r="E15" s="8" t="n">
        <f aca="false">SUMIFS(Detalle!$I$2:$I$1370,Detalle!$A$2:$A$1370,"5dc9e0d5-object_0",Detalle!$B$2:$B$1370,$A15,Detalle!$C$2:$C$1370,$B15)</f>
        <v>4.03878</v>
      </c>
      <c r="F15" s="8" t="n">
        <f aca="false">SUMIFS(Detalle!$I$2:$I$1370,Detalle!$A$2:$A$1370,"a501b501-object_3",Detalle!$B$2:$B$1370,$A15,Detalle!$C$2:$C$1370,$B15)</f>
        <v>13.05993</v>
      </c>
      <c r="G15" s="8" t="n">
        <f aca="false">SUMIFS(Detalle!$I$2:$I$1370,Detalle!$A$2:$A$1370,"2b65e967-object_0-1",Detalle!$B$2:$B$1370,$A15,Detalle!$C$2:$C$1370,$B15)</f>
        <v>8.83768</v>
      </c>
      <c r="H15" s="8" t="n">
        <f aca="false">SUMIFS(Detalle!$I$2:$I$1370,Detalle!$A$2:$A$1370,"5ed925a3-object_2",Detalle!$B$2:$B$1370,$A15,Detalle!$C$2:$C$1370,$B15)</f>
        <v>9.26993</v>
      </c>
      <c r="I15" s="8" t="n">
        <f aca="false">SUMIFS(Detalle!$I$2:$I$1370,Detalle!$A$2:$A$1370,"70ef0058-object_0",Detalle!$B$2:$B$1370,$A15,Detalle!$C$2:$C$1370,$B15)</f>
        <v>6.8747</v>
      </c>
      <c r="J15" s="8" t="n">
        <f aca="false">SUMIFS(Detalle!$I$2:$I$1370,Detalle!$A$2:$A$1370,"80c13944-object_3",Detalle!$B$2:$B$1370,$A15,Detalle!$C$2:$C$1370,$B15)</f>
        <v>9.17625</v>
      </c>
      <c r="K15" s="8" t="n">
        <f aca="false">SUMIFS(Detalle!$I$2:$I$1370,Detalle!$A$2:$A$1370,"fba550bc-object_1",Detalle!$B$2:$B$1370,$A15,Detalle!$C$2:$C$1370,$B15)</f>
        <v>7.04816</v>
      </c>
      <c r="L15" s="8" t="n">
        <f aca="false">SUMIFS(Detalle!$I$2:$I$1370,Detalle!$A$2:$A$1370,"38448021-object_5",Detalle!$B$2:$B$1370,$A15,Detalle!$C$2:$C$1370,$B15)</f>
        <v>0.28005</v>
      </c>
      <c r="M15" s="8" t="n">
        <f aca="false">SUMIFS(Detalle!$I$2:$I$1370,Detalle!$A$2:$A$1370,"6e95d62d-object_4",Detalle!$B$2:$B$1370,$A15,Detalle!$C$2:$C$1370,$B15)</f>
        <v>0</v>
      </c>
    </row>
    <row r="16" customFormat="false" ht="15" hidden="false" customHeight="false" outlineLevel="0" collapsed="false">
      <c r="A16" s="5" t="s">
        <v>30</v>
      </c>
      <c r="B16" s="5" t="s">
        <v>31</v>
      </c>
      <c r="C16" s="6" t="n">
        <f aca="false">SUMIFS(Detalle!$I$2:$I$1370,Detalle!$A$2:$A$1370,"2a3facb9-object_2",Detalle!$B$2:$B$1370,$A16,Detalle!$C$2:$C$1370,$B16)</f>
        <v>53.2004769026428</v>
      </c>
      <c r="D16" s="6" t="n">
        <f aca="false">SUMIFS(Detalle!$I$2:$I$1370,Detalle!$A$2:$A$1370,"2f639739-object_1",Detalle!$B$2:$B$1370,$A16,Detalle!$C$2:$C$1370,$B16)</f>
        <v>50.3503523067825</v>
      </c>
      <c r="E16" s="6" t="n">
        <f aca="false">SUMIFS(Detalle!$I$2:$I$1370,Detalle!$A$2:$A$1370,"5dc9e0d5-object_0",Detalle!$B$2:$B$1370,$A16,Detalle!$C$2:$C$1370,$B16)</f>
        <v>51.2998376137772</v>
      </c>
      <c r="F16" s="6" t="n">
        <f aca="false">SUMIFS(Detalle!$I$2:$I$1370,Detalle!$A$2:$A$1370,"a501b501-object_3",Detalle!$B$2:$B$1370,$A16,Detalle!$C$2:$C$1370,$B16)</f>
        <v>37.9996200038</v>
      </c>
      <c r="G16" s="6" t="n">
        <f aca="false">SUMIFS(Detalle!$I$2:$I$1370,Detalle!$A$2:$A$1370,"2b65e967-object_0-1",Detalle!$B$2:$B$1370,$A16,Detalle!$C$2:$C$1370,$B16)</f>
        <v>53.2003427918492</v>
      </c>
      <c r="H16" s="6" t="n">
        <f aca="false">SUMIFS(Detalle!$I$2:$I$1370,Detalle!$A$2:$A$1370,"5ed925a3-object_2",Detalle!$B$2:$B$1370,$A16,Detalle!$C$2:$C$1370,$B16)</f>
        <v>52.2502847892559</v>
      </c>
      <c r="I16" s="6" t="n">
        <f aca="false">SUMIFS(Detalle!$I$2:$I$1370,Detalle!$A$2:$A$1370,"70ef0058-object_0",Detalle!$B$2:$B$1370,$A16,Detalle!$C$2:$C$1370,$B16)</f>
        <v>48.4501996417456</v>
      </c>
      <c r="J16" s="6" t="n">
        <f aca="false">SUMIFS(Detalle!$I$2:$I$1370,Detalle!$A$2:$A$1370,"80c13944-object_3",Detalle!$B$2:$B$1370,$A16,Detalle!$C$2:$C$1370,$B16)</f>
        <v>53.2004190434181</v>
      </c>
      <c r="K16" s="6" t="n">
        <f aca="false">SUMIFS(Detalle!$I$2:$I$1370,Detalle!$A$2:$A$1370,"fba550bc-object_1",Detalle!$B$2:$B$1370,$A16,Detalle!$C$2:$C$1370,$B16)</f>
        <v>53.2003802471607</v>
      </c>
      <c r="L16" s="6" t="n">
        <f aca="false">SUMIFS(Detalle!$I$2:$I$1370,Detalle!$A$2:$A$1370,"38448021-object_5",Detalle!$B$2:$B$1370,$A16,Detalle!$C$2:$C$1370,$B16)</f>
        <v>29.4497435435976</v>
      </c>
      <c r="M16" s="6" t="n">
        <f aca="false">SUMIFS(Detalle!$I$2:$I$1370,Detalle!$A$2:$A$1370,"6e95d62d-object_4",Detalle!$B$2:$B$1370,$A16,Detalle!$C$2:$C$1370,$B16)</f>
        <v>0</v>
      </c>
    </row>
    <row r="17" customFormat="false" ht="15" hidden="false" customHeight="false" outlineLevel="0" collapsed="false">
      <c r="A17" s="5" t="s">
        <v>30</v>
      </c>
      <c r="B17" s="5" t="s">
        <v>32</v>
      </c>
      <c r="C17" s="6" t="n">
        <f aca="false">SUMIFS(Detalle!$I$2:$I$1370,Detalle!$A$2:$A$1370,"2a3facb9-object_2",Detalle!$B$2:$B$1370,$A17,Detalle!$C$2:$C$1370,$B17)</f>
        <v>41.8005166445297</v>
      </c>
      <c r="D17" s="6" t="n">
        <f aca="false">SUMIFS(Detalle!$I$2:$I$1370,Detalle!$A$2:$A$1370,"2f639739-object_1",Detalle!$B$2:$B$1370,$A17,Detalle!$C$2:$C$1370,$B17)</f>
        <v>44.6505998737108</v>
      </c>
      <c r="E17" s="6" t="n">
        <f aca="false">SUMIFS(Detalle!$I$2:$I$1370,Detalle!$A$2:$A$1370,"5dc9e0d5-object_0",Detalle!$B$2:$B$1370,$A17,Detalle!$C$2:$C$1370,$B17)</f>
        <v>43.7001623862228</v>
      </c>
      <c r="F17" s="6" t="n">
        <f aca="false">SUMIFS(Detalle!$I$2:$I$1370,Detalle!$A$2:$A$1370,"a501b501-object_3",Detalle!$B$2:$B$1370,$A17,Detalle!$C$2:$C$1370,$B17)</f>
        <v>56.9994300056999</v>
      </c>
      <c r="G17" s="6" t="n">
        <f aca="false">SUMIFS(Detalle!$I$2:$I$1370,Detalle!$A$2:$A$1370,"2b65e967-object_0-1",Detalle!$B$2:$B$1370,$A17,Detalle!$C$2:$C$1370,$B17)</f>
        <v>41.7996572081508</v>
      </c>
      <c r="H17" s="6" t="n">
        <f aca="false">SUMIFS(Detalle!$I$2:$I$1370,Detalle!$A$2:$A$1370,"5ed925a3-object_2",Detalle!$B$2:$B$1370,$A17,Detalle!$C$2:$C$1370,$B17)</f>
        <v>42.7497152107441</v>
      </c>
      <c r="I17" s="6" t="n">
        <f aca="false">SUMIFS(Detalle!$I$2:$I$1370,Detalle!$A$2:$A$1370,"70ef0058-object_0",Detalle!$B$2:$B$1370,$A17,Detalle!$C$2:$C$1370,$B17)</f>
        <v>46.5498003582544</v>
      </c>
      <c r="J17" s="6" t="n">
        <f aca="false">SUMIFS(Detalle!$I$2:$I$1370,Detalle!$A$2:$A$1370,"80c13944-object_3",Detalle!$B$2:$B$1370,$A17,Detalle!$C$2:$C$1370,$B17)</f>
        <v>41.7995809565819</v>
      </c>
      <c r="K17" s="6" t="n">
        <f aca="false">SUMIFS(Detalle!$I$2:$I$1370,Detalle!$A$2:$A$1370,"fba550bc-object_1",Detalle!$B$2:$B$1370,$A17,Detalle!$C$2:$C$1370,$B17)</f>
        <v>41.7996197528394</v>
      </c>
      <c r="L17" s="6" t="n">
        <f aca="false">SUMIFS(Detalle!$I$2:$I$1370,Detalle!$A$2:$A$1370,"38448021-object_5",Detalle!$B$2:$B$1370,$A17,Detalle!$C$2:$C$1370,$B17)</f>
        <v>65.5502564564024</v>
      </c>
      <c r="M17" s="6" t="n">
        <f aca="false">SUMIFS(Detalle!$I$2:$I$1370,Detalle!$A$2:$A$1370,"6e95d62d-object_4",Detalle!$B$2:$B$1370,$A17,Detalle!$C$2:$C$1370,$B17)</f>
        <v>95</v>
      </c>
    </row>
    <row r="18" customFormat="false" ht="15" hidden="false" customHeight="false" outlineLevel="0" collapsed="false">
      <c r="A18" s="5" t="s">
        <v>30</v>
      </c>
      <c r="B18" s="5" t="s">
        <v>33</v>
      </c>
      <c r="C18" s="6" t="n">
        <f aca="false">SUMIFS(Detalle!$I$2:$I$1370,Detalle!$A$2:$A$1370,"2a3facb9-object_2",Detalle!$B$2:$B$1370,$A18,Detalle!$C$2:$C$1370,$B18)</f>
        <v>49.1289205894349</v>
      </c>
      <c r="D18" s="6" t="n">
        <f aca="false">SUMIFS(Detalle!$I$2:$I$1370,Detalle!$A$2:$A$1370,"2f639739-object_1",Detalle!$B$2:$B$1370,$A18,Detalle!$C$2:$C$1370,$B18)</f>
        <v>51.9528720770565</v>
      </c>
      <c r="E18" s="6" t="n">
        <f aca="false">SUMIFS(Detalle!$I$2:$I$1370,Detalle!$A$2:$A$1370,"5dc9e0d5-object_0",Detalle!$B$2:$B$1370,$A18,Detalle!$C$2:$C$1370,$B18)</f>
        <v>59.0893017392419</v>
      </c>
      <c r="F18" s="6" t="n">
        <f aca="false">SUMIFS(Detalle!$I$2:$I$1370,Detalle!$A$2:$A$1370,"a501b501-object_3",Detalle!$B$2:$B$1370,$A18,Detalle!$C$2:$C$1370,$B18)</f>
        <v>35.279797202028</v>
      </c>
      <c r="G18" s="6" t="n">
        <f aca="false">SUMIFS(Detalle!$I$2:$I$1370,Detalle!$A$2:$A$1370,"2b65e967-object_0-1",Detalle!$B$2:$B$1370,$A18,Detalle!$C$2:$C$1370,$B18)</f>
        <v>50.1418777375738</v>
      </c>
      <c r="H18" s="6" t="n">
        <f aca="false">SUMIFS(Detalle!$I$2:$I$1370,Detalle!$A$2:$A$1370,"5ed925a3-object_2",Detalle!$B$2:$B$1370,$A18,Detalle!$C$2:$C$1370,$B18)</f>
        <v>46.203259587905</v>
      </c>
      <c r="I18" s="6" t="n">
        <f aca="false">SUMIFS(Detalle!$I$2:$I$1370,Detalle!$A$2:$A$1370,"70ef0058-object_0",Detalle!$B$2:$B$1370,$A18,Detalle!$C$2:$C$1370,$B18)</f>
        <v>58.069129081648</v>
      </c>
      <c r="J18" s="6" t="n">
        <f aca="false">SUMIFS(Detalle!$I$2:$I$1370,Detalle!$A$2:$A$1370,"80c13944-object_3",Detalle!$B$2:$B$1370,$A18,Detalle!$C$2:$C$1370,$B18)</f>
        <v>49.2252207997915</v>
      </c>
      <c r="K18" s="6" t="n">
        <f aca="false">SUMIFS(Detalle!$I$2:$I$1370,Detalle!$A$2:$A$1370,"fba550bc-object_1",Detalle!$B$2:$B$1370,$A18,Detalle!$C$2:$C$1370,$B18)</f>
        <v>46.8245859808876</v>
      </c>
      <c r="L18" s="6" t="n">
        <f aca="false">SUMIFS(Detalle!$I$2:$I$1370,Detalle!$A$2:$A$1370,"38448021-object_5",Detalle!$B$2:$B$1370,$A18,Detalle!$C$2:$C$1370,$B18)</f>
        <v>91.5843806552886</v>
      </c>
      <c r="M18" s="6" t="n">
        <f aca="false">SUMIFS(Detalle!$I$2:$I$1370,Detalle!$A$2:$A$1370,"6e95d62d-object_4",Detalle!$B$2:$B$1370,$A18,Detalle!$C$2:$C$1370,$B18)</f>
        <v>127.663095630255</v>
      </c>
    </row>
    <row r="19" customFormat="false" ht="15" hidden="false" customHeight="false" outlineLevel="0" collapsed="false">
      <c r="A19" s="5" t="s">
        <v>30</v>
      </c>
      <c r="B19" s="5" t="s">
        <v>34</v>
      </c>
      <c r="C19" s="6" t="n">
        <f aca="false">SUMIFS(Detalle!$I$2:$I$1370,Detalle!$A$2:$A$1370,"2a3facb9-object_2",Detalle!$B$2:$B$1370,$A19,Detalle!$C$2:$C$1370,$B19)</f>
        <v>36.6807680642564</v>
      </c>
      <c r="D19" s="6" t="n">
        <f aca="false">SUMIFS(Detalle!$I$2:$I$1370,Detalle!$A$2:$A$1370,"2f639739-object_1",Detalle!$B$2:$B$1370,$A19,Detalle!$C$2:$C$1370,$B19)</f>
        <v>41.9530725361077</v>
      </c>
      <c r="E19" s="6" t="n">
        <f aca="false">SUMIFS(Detalle!$I$2:$I$1370,Detalle!$A$2:$A$1370,"5dc9e0d5-object_0",Detalle!$B$2:$B$1370,$A19,Detalle!$C$2:$C$1370,$B19)</f>
        <v>36.6566599717961</v>
      </c>
      <c r="F19" s="6" t="n">
        <f aca="false">SUMIFS(Detalle!$I$2:$I$1370,Detalle!$A$2:$A$1370,"a501b501-object_3",Detalle!$B$2:$B$1370,$A19,Detalle!$C$2:$C$1370,$B19)</f>
        <v>31.1207387926121</v>
      </c>
      <c r="G19" s="6" t="n">
        <f aca="false">SUMIFS(Detalle!$I$2:$I$1370,Detalle!$A$2:$A$1370,"2b65e967-object_0-1",Detalle!$B$2:$B$1370,$A19,Detalle!$C$2:$C$1370,$B19)</f>
        <v>37.7023424109693</v>
      </c>
      <c r="H19" s="6" t="n">
        <f aca="false">SUMIFS(Detalle!$I$2:$I$1370,Detalle!$A$2:$A$1370,"5ed925a3-object_2",Detalle!$B$2:$B$1370,$A19,Detalle!$C$2:$C$1370,$B19)</f>
        <v>43.182594879789</v>
      </c>
      <c r="I19" s="6" t="n">
        <f aca="false">SUMIFS(Detalle!$I$2:$I$1370,Detalle!$A$2:$A$1370,"70ef0058-object_0",Detalle!$B$2:$B$1370,$A19,Detalle!$C$2:$C$1370,$B19)</f>
        <v>40.3038657446787</v>
      </c>
      <c r="J19" s="6" t="n">
        <f aca="false">SUMIFS(Detalle!$I$2:$I$1370,Detalle!$A$2:$A$1370,"80c13944-object_3",Detalle!$B$2:$B$1370,$A19,Detalle!$C$2:$C$1370,$B19)</f>
        <v>38.8824673436858</v>
      </c>
      <c r="K19" s="6" t="n">
        <f aca="false">SUMIFS(Detalle!$I$2:$I$1370,Detalle!$A$2:$A$1370,"fba550bc-object_1",Detalle!$B$2:$B$1370,$A19,Detalle!$C$2:$C$1370,$B19)</f>
        <v>43.1647070595887</v>
      </c>
      <c r="L19" s="6" t="n">
        <f aca="false">SUMIFS(Detalle!$I$2:$I$1370,Detalle!$A$2:$A$1370,"38448021-object_5",Detalle!$B$2:$B$1370,$A19,Detalle!$C$2:$C$1370,$B19)</f>
        <v>73.3066378715618</v>
      </c>
      <c r="M19" s="6" t="n">
        <f aca="false">SUMIFS(Detalle!$I$2:$I$1370,Detalle!$A$2:$A$1370,"6e95d62d-object_4",Detalle!$B$2:$B$1370,$A19,Detalle!$C$2:$C$1370,$B19)</f>
        <v>135.977857664599</v>
      </c>
    </row>
    <row r="20" customFormat="false" ht="15" hidden="false" customHeight="false" outlineLevel="0" collapsed="false">
      <c r="A20" s="7" t="s">
        <v>35</v>
      </c>
      <c r="B20" s="7" t="s">
        <v>36</v>
      </c>
      <c r="C20" s="8" t="n">
        <f aca="false">SUMIFS(Detalle!$I$2:$I$1370,Detalle!$A$2:$A$1370,"2a3facb9-object_2",Detalle!$B$2:$B$1370,$A20,Detalle!$C$2:$C$1370,$B20)</f>
        <v>2.27273</v>
      </c>
      <c r="D20" s="8" t="n">
        <f aca="false">SUMIFS(Detalle!$I$2:$I$1370,Detalle!$A$2:$A$1370,"2f639739-object_1",Detalle!$B$2:$B$1370,$A20,Detalle!$C$2:$C$1370,$B20)</f>
        <v>2.12766</v>
      </c>
      <c r="E20" s="8" t="n">
        <f aca="false">SUMIFS(Detalle!$I$2:$I$1370,Detalle!$A$2:$A$1370,"5dc9e0d5-object_0",Detalle!$B$2:$B$1370,$A20,Detalle!$C$2:$C$1370,$B20)</f>
        <v>2.17391</v>
      </c>
      <c r="F20" s="8" t="n">
        <f aca="false">SUMIFS(Detalle!$I$2:$I$1370,Detalle!$A$2:$A$1370,"a501b501-object_3",Detalle!$B$2:$B$1370,$A20,Detalle!$C$2:$C$1370,$B20)</f>
        <v>1.66667</v>
      </c>
      <c r="G20" s="8" t="n">
        <f aca="false">SUMIFS(Detalle!$I$2:$I$1370,Detalle!$A$2:$A$1370,"2b65e967-object_0-1",Detalle!$B$2:$B$1370,$A20,Detalle!$C$2:$C$1370,$B20)</f>
        <v>2.27273</v>
      </c>
      <c r="H20" s="8" t="n">
        <f aca="false">SUMIFS(Detalle!$I$2:$I$1370,Detalle!$A$2:$A$1370,"5ed925a3-object_2",Detalle!$B$2:$B$1370,$A20,Detalle!$C$2:$C$1370,$B20)</f>
        <v>2.22222</v>
      </c>
      <c r="I20" s="8" t="n">
        <f aca="false">SUMIFS(Detalle!$I$2:$I$1370,Detalle!$A$2:$A$1370,"70ef0058-object_0",Detalle!$B$2:$B$1370,$A20,Detalle!$C$2:$C$1370,$B20)</f>
        <v>2.04082</v>
      </c>
      <c r="J20" s="8" t="n">
        <f aca="false">SUMIFS(Detalle!$I$2:$I$1370,Detalle!$A$2:$A$1370,"80c13944-object_3",Detalle!$B$2:$B$1370,$A20,Detalle!$C$2:$C$1370,$B20)</f>
        <v>2.27273</v>
      </c>
      <c r="K20" s="8" t="n">
        <f aca="false">SUMIFS(Detalle!$I$2:$I$1370,Detalle!$A$2:$A$1370,"fba550bc-object_1",Detalle!$B$2:$B$1370,$A20,Detalle!$C$2:$C$1370,$B20)</f>
        <v>2.27273</v>
      </c>
      <c r="L20" s="8" t="n">
        <f aca="false">SUMIFS(Detalle!$I$2:$I$1370,Detalle!$A$2:$A$1370,"38448021-object_5",Detalle!$B$2:$B$1370,$A20,Detalle!$C$2:$C$1370,$B20)</f>
        <v>1.44928</v>
      </c>
      <c r="M20" s="8" t="n">
        <f aca="false">SUMIFS(Detalle!$I$2:$I$1370,Detalle!$A$2:$A$1370,"6e95d62d-object_4",Detalle!$B$2:$B$1370,$A20,Detalle!$C$2:$C$1370,$B20)</f>
        <v>1</v>
      </c>
    </row>
    <row r="21" customFormat="false" ht="15" hidden="false" customHeight="false" outlineLevel="0" collapsed="false">
      <c r="A21" s="7" t="s">
        <v>35</v>
      </c>
      <c r="B21" s="7" t="s">
        <v>37</v>
      </c>
      <c r="C21" s="8" t="n">
        <f aca="false">SUMIFS(Detalle!$I$2:$I$1370,Detalle!$A$2:$A$1370,"2a3facb9-object_2",Detalle!$B$2:$B$1370,$A21,Detalle!$C$2:$C$1370,$B21)</f>
        <v>44</v>
      </c>
      <c r="D21" s="8" t="n">
        <f aca="false">SUMIFS(Detalle!$I$2:$I$1370,Detalle!$A$2:$A$1370,"2f639739-object_1",Detalle!$B$2:$B$1370,$A21,Detalle!$C$2:$C$1370,$B21)</f>
        <v>47</v>
      </c>
      <c r="E21" s="8" t="n">
        <f aca="false">SUMIFS(Detalle!$I$2:$I$1370,Detalle!$A$2:$A$1370,"5dc9e0d5-object_0",Detalle!$B$2:$B$1370,$A21,Detalle!$C$2:$C$1370,$B21)</f>
        <v>46</v>
      </c>
      <c r="F21" s="8" t="n">
        <f aca="false">SUMIFS(Detalle!$I$2:$I$1370,Detalle!$A$2:$A$1370,"a501b501-object_3",Detalle!$B$2:$B$1370,$A21,Detalle!$C$2:$C$1370,$B21)</f>
        <v>60</v>
      </c>
      <c r="G21" s="8" t="n">
        <f aca="false">SUMIFS(Detalle!$I$2:$I$1370,Detalle!$A$2:$A$1370,"2b65e967-object_0-1",Detalle!$B$2:$B$1370,$A21,Detalle!$C$2:$C$1370,$B21)</f>
        <v>44</v>
      </c>
      <c r="H21" s="8" t="n">
        <f aca="false">SUMIFS(Detalle!$I$2:$I$1370,Detalle!$A$2:$A$1370,"5ed925a3-object_2",Detalle!$B$2:$B$1370,$A21,Detalle!$C$2:$C$1370,$B21)</f>
        <v>45</v>
      </c>
      <c r="I21" s="8" t="n">
        <f aca="false">SUMIFS(Detalle!$I$2:$I$1370,Detalle!$A$2:$A$1370,"70ef0058-object_0",Detalle!$B$2:$B$1370,$A21,Detalle!$C$2:$C$1370,$B21)</f>
        <v>49</v>
      </c>
      <c r="J21" s="8" t="n">
        <f aca="false">SUMIFS(Detalle!$I$2:$I$1370,Detalle!$A$2:$A$1370,"80c13944-object_3",Detalle!$B$2:$B$1370,$A21,Detalle!$C$2:$C$1370,$B21)</f>
        <v>44</v>
      </c>
      <c r="K21" s="8" t="n">
        <f aca="false">SUMIFS(Detalle!$I$2:$I$1370,Detalle!$A$2:$A$1370,"fba550bc-object_1",Detalle!$B$2:$B$1370,$A21,Detalle!$C$2:$C$1370,$B21)</f>
        <v>44</v>
      </c>
      <c r="L21" s="8" t="n">
        <f aca="false">SUMIFS(Detalle!$I$2:$I$1370,Detalle!$A$2:$A$1370,"38448021-object_5",Detalle!$B$2:$B$1370,$A21,Detalle!$C$2:$C$1370,$B21)</f>
        <v>69</v>
      </c>
      <c r="M21" s="8" t="n">
        <f aca="false">SUMIFS(Detalle!$I$2:$I$1370,Detalle!$A$2:$A$1370,"6e95d62d-object_4",Detalle!$B$2:$B$1370,$A21,Detalle!$C$2:$C$1370,$B21)</f>
        <v>100</v>
      </c>
    </row>
    <row r="22" customFormat="false" ht="15" hidden="false" customHeight="false" outlineLevel="0" collapsed="false">
      <c r="A22" s="5" t="s">
        <v>38</v>
      </c>
      <c r="B22" s="5" t="s">
        <v>39</v>
      </c>
      <c r="C22" s="6" t="n">
        <f aca="false">SUMIFS(Detalle!$I$2:$I$1370,Detalle!$A$2:$A$1370,"2a3facb9-object_2",Detalle!$B$2:$B$1370,$A22,Detalle!$C$2:$C$1370,$B22)</f>
        <v>67.3883305269983</v>
      </c>
      <c r="D22" s="6" t="n">
        <f aca="false">SUMIFS(Detalle!$I$2:$I$1370,Detalle!$A$2:$A$1370,"2f639739-object_1",Detalle!$B$2:$B$1370,$A22,Detalle!$C$2:$C$1370,$B22)</f>
        <v>63.5132954465727</v>
      </c>
      <c r="E22" s="6" t="n">
        <f aca="false">SUMIFS(Detalle!$I$2:$I$1370,Detalle!$A$2:$A$1370,"5dc9e0d5-object_0",Detalle!$B$2:$B$1370,$A22,Detalle!$C$2:$C$1370,$B22)</f>
        <v>68.2752873808812</v>
      </c>
      <c r="F22" s="6" t="n">
        <f aca="false">SUMIFS(Detalle!$I$2:$I$1370,Detalle!$A$2:$A$1370,"a501b501-object_3",Detalle!$B$2:$B$1370,$A22,Detalle!$C$2:$C$1370,$B22)</f>
        <v>46.9475805241948</v>
      </c>
      <c r="G22" s="6" t="n">
        <f aca="false">SUMIFS(Detalle!$I$2:$I$1370,Detalle!$A$2:$A$1370,"2b65e967-object_0-1",Detalle!$B$2:$B$1370,$A22,Detalle!$C$2:$C$1370,$B22)</f>
        <v>64.3258426966292</v>
      </c>
      <c r="H22" s="6" t="n">
        <f aca="false">SUMIFS(Detalle!$I$2:$I$1370,Detalle!$A$2:$A$1370,"5ed925a3-object_2",Detalle!$B$2:$B$1370,$A22,Detalle!$C$2:$C$1370,$B22)</f>
        <v>66.9568019665448</v>
      </c>
      <c r="I22" s="6" t="n">
        <f aca="false">SUMIFS(Detalle!$I$2:$I$1370,Detalle!$A$2:$A$1370,"70ef0058-object_0",Detalle!$B$2:$B$1370,$A22,Detalle!$C$2:$C$1370,$B22)</f>
        <v>62.0686187192907</v>
      </c>
      <c r="J22" s="6" t="n">
        <f aca="false">SUMIFS(Detalle!$I$2:$I$1370,Detalle!$A$2:$A$1370,"80c13944-object_3",Detalle!$B$2:$B$1370,$A22,Detalle!$C$2:$C$1370,$B22)</f>
        <v>62.4574690980542</v>
      </c>
      <c r="K22" s="6" t="n">
        <f aca="false">SUMIFS(Detalle!$I$2:$I$1370,Detalle!$A$2:$A$1370,"fba550bc-object_1",Detalle!$B$2:$B$1370,$A22,Detalle!$C$2:$C$1370,$B22)</f>
        <v>67.022364536949</v>
      </c>
      <c r="L22" s="6" t="n">
        <f aca="false">SUMIFS(Detalle!$I$2:$I$1370,Detalle!$A$2:$A$1370,"38448021-object_5",Detalle!$B$2:$B$1370,$A22,Detalle!$C$2:$C$1370,$B22)</f>
        <v>55.480068388374</v>
      </c>
      <c r="M22" s="6" t="n">
        <f aca="false">SUMIFS(Detalle!$I$2:$I$1370,Detalle!$A$2:$A$1370,"6e95d62d-object_4",Detalle!$B$2:$B$1370,$A22,Detalle!$C$2:$C$1370,$B22)</f>
        <v>44.0419787742943</v>
      </c>
    </row>
    <row r="23" customFormat="false" ht="15" hidden="false" customHeight="false" outlineLevel="0" collapsed="false">
      <c r="A23" s="5" t="s">
        <v>38</v>
      </c>
      <c r="B23" s="5" t="s">
        <v>40</v>
      </c>
      <c r="C23" s="6" t="n">
        <f aca="false">SUMIFS(Detalle!$I$2:$I$1370,Detalle!$A$2:$A$1370,"2a3facb9-object_2",Detalle!$B$2:$B$1370,$A23,Detalle!$C$2:$C$1370,$B23)</f>
        <v>12.1451206375435</v>
      </c>
      <c r="D23" s="6" t="n">
        <f aca="false">SUMIFS(Detalle!$I$2:$I$1370,Detalle!$A$2:$A$1370,"2f639739-object_1",Detalle!$B$2:$B$1370,$A23,Detalle!$C$2:$C$1370,$B23)</f>
        <v>14.0960800232533</v>
      </c>
      <c r="E23" s="6" t="n">
        <f aca="false">SUMIFS(Detalle!$I$2:$I$1370,Detalle!$A$2:$A$1370,"5dc9e0d5-object_0",Detalle!$B$2:$B$1370,$A23,Detalle!$C$2:$C$1370,$B23)</f>
        <v>7.93459681210205</v>
      </c>
      <c r="F23" s="6" t="n">
        <f aca="false">SUMIFS(Detalle!$I$2:$I$1370,Detalle!$A$2:$A$1370,"a501b501-object_3",Detalle!$B$2:$B$1370,$A23,Detalle!$C$2:$C$1370,$B23)</f>
        <v>8.36561634383656</v>
      </c>
      <c r="G23" s="6" t="n">
        <f aca="false">SUMIFS(Detalle!$I$2:$I$1370,Detalle!$A$2:$A$1370,"2b65e967-object_0-1",Detalle!$B$2:$B$1370,$A23,Detalle!$C$2:$C$1370,$B23)</f>
        <v>10.9398209864788</v>
      </c>
      <c r="H23" s="6" t="n">
        <f aca="false">SUMIFS(Detalle!$I$2:$I$1370,Detalle!$A$2:$A$1370,"5ed925a3-object_2",Detalle!$B$2:$B$1370,$A23,Detalle!$C$2:$C$1370,$B23)</f>
        <v>7.46717429102464</v>
      </c>
      <c r="I23" s="6" t="n">
        <f aca="false">SUMIFS(Detalle!$I$2:$I$1370,Detalle!$A$2:$A$1370,"70ef0058-object_0",Detalle!$B$2:$B$1370,$A23,Detalle!$C$2:$C$1370,$B23)</f>
        <v>10.4260524972731</v>
      </c>
      <c r="J23" s="6" t="n">
        <f aca="false">SUMIFS(Detalle!$I$2:$I$1370,Detalle!$A$2:$A$1370,"80c13944-object_3",Detalle!$B$2:$B$1370,$A23,Detalle!$C$2:$C$1370,$B23)</f>
        <v>8.5351525297992</v>
      </c>
      <c r="K23" s="6" t="n">
        <f aca="false">SUMIFS(Detalle!$I$2:$I$1370,Detalle!$A$2:$A$1370,"fba550bc-object_1",Detalle!$B$2:$B$1370,$A23,Detalle!$C$2:$C$1370,$B23)</f>
        <v>14.9912443088007</v>
      </c>
      <c r="L23" s="6" t="n">
        <f aca="false">SUMIFS(Detalle!$I$2:$I$1370,Detalle!$A$2:$A$1370,"38448021-object_5",Detalle!$B$2:$B$1370,$A23,Detalle!$C$2:$C$1370,$B23)</f>
        <v>26.15190417629</v>
      </c>
      <c r="M23" s="6" t="n">
        <f aca="false">SUMIFS(Detalle!$I$2:$I$1370,Detalle!$A$2:$A$1370,"6e95d62d-object_4",Detalle!$B$2:$B$1370,$A23,Detalle!$C$2:$C$1370,$B23)</f>
        <v>40.677160166712</v>
      </c>
    </row>
    <row r="24" customFormat="false" ht="15" hidden="false" customHeight="false" outlineLevel="0" collapsed="false">
      <c r="A24" s="5" t="s">
        <v>38</v>
      </c>
      <c r="B24" s="5" t="s">
        <v>41</v>
      </c>
      <c r="C24" s="6" t="n">
        <f aca="false">SUMIFS(Detalle!$I$2:$I$1370,Detalle!$A$2:$A$1370,"2a3facb9-object_2",Detalle!$B$2:$B$1370,$A24,Detalle!$C$2:$C$1370,$B24)</f>
        <v>12.1272367884372</v>
      </c>
      <c r="D24" s="6" t="n">
        <f aca="false">SUMIFS(Detalle!$I$2:$I$1370,Detalle!$A$2:$A$1370,"2f639739-object_1",Detalle!$B$2:$B$1370,$A24,Detalle!$C$2:$C$1370,$B24)</f>
        <v>19.5911136502591</v>
      </c>
      <c r="E24" s="6" t="n">
        <f aca="false">SUMIFS(Detalle!$I$2:$I$1370,Detalle!$A$2:$A$1370,"5dc9e0d5-object_0",Detalle!$B$2:$B$1370,$A24,Detalle!$C$2:$C$1370,$B24)</f>
        <v>8.9799581214478</v>
      </c>
      <c r="F24" s="6" t="n">
        <f aca="false">SUMIFS(Detalle!$I$2:$I$1370,Detalle!$A$2:$A$1370,"a501b501-object_3",Detalle!$B$2:$B$1370,$A24,Detalle!$C$2:$C$1370,$B24)</f>
        <v>10.5809941900581</v>
      </c>
      <c r="G24" s="6" t="n">
        <f aca="false">SUMIFS(Detalle!$I$2:$I$1370,Detalle!$A$2:$A$1370,"2b65e967-object_0-1",Detalle!$B$2:$B$1370,$A24,Detalle!$C$2:$C$1370,$B24)</f>
        <v>18.1317844220149</v>
      </c>
      <c r="H24" s="6" t="n">
        <f aca="false">SUMIFS(Detalle!$I$2:$I$1370,Detalle!$A$2:$A$1370,"5ed925a3-object_2",Detalle!$B$2:$B$1370,$A24,Detalle!$C$2:$C$1370,$B24)</f>
        <v>5.78122189579711</v>
      </c>
      <c r="I24" s="6" t="n">
        <f aca="false">SUMIFS(Detalle!$I$2:$I$1370,Detalle!$A$2:$A$1370,"70ef0058-object_0",Detalle!$B$2:$B$1370,$A24,Detalle!$C$2:$C$1370,$B24)</f>
        <v>15.8106755796616</v>
      </c>
      <c r="J24" s="6" t="n">
        <f aca="false">SUMIFS(Detalle!$I$2:$I$1370,Detalle!$A$2:$A$1370,"80c13944-object_3",Detalle!$B$2:$B$1370,$A24,Detalle!$C$2:$C$1370,$B24)</f>
        <v>16.7036420687512</v>
      </c>
      <c r="K24" s="6" t="n">
        <f aca="false">SUMIFS(Detalle!$I$2:$I$1370,Detalle!$A$2:$A$1370,"fba550bc-object_1",Detalle!$B$2:$B$1370,$A24,Detalle!$C$2:$C$1370,$B24)</f>
        <v>16.2479611747636</v>
      </c>
      <c r="L24" s="6" t="n">
        <f aca="false">SUMIFS(Detalle!$I$2:$I$1370,Detalle!$A$2:$A$1370,"38448021-object_5",Detalle!$B$2:$B$1370,$A24,Detalle!$C$2:$C$1370,$B24)</f>
        <v>26.5650839357309</v>
      </c>
      <c r="M24" s="6" t="n">
        <f aca="false">SUMIFS(Detalle!$I$2:$I$1370,Detalle!$A$2:$A$1370,"6e95d62d-object_4",Detalle!$B$2:$B$1370,$A24,Detalle!$C$2:$C$1370,$B24)</f>
        <v>27.7390040245771</v>
      </c>
    </row>
    <row r="25" customFormat="false" ht="15" hidden="false" customHeight="false" outlineLevel="0" collapsed="false">
      <c r="A25" s="5" t="s">
        <v>38</v>
      </c>
      <c r="B25" s="5" t="s">
        <v>42</v>
      </c>
      <c r="C25" s="6" t="n">
        <f aca="false">SUMIFS(Detalle!$I$2:$I$1370,Detalle!$A$2:$A$1370,"2a3facb9-object_2",Detalle!$B$2:$B$1370,$A25,Detalle!$C$2:$C$1370,$B25)</f>
        <v>-10.7948900300156</v>
      </c>
      <c r="D25" s="6" t="n">
        <f aca="false">SUMIFS(Detalle!$I$2:$I$1370,Detalle!$A$2:$A$1370,"2f639739-object_1",Detalle!$B$2:$B$1370,$A25,Detalle!$C$2:$C$1370,$B25)</f>
        <v>-9.92362510148239</v>
      </c>
      <c r="E25" s="6" t="n">
        <f aca="false">SUMIFS(Detalle!$I$2:$I$1370,Detalle!$A$2:$A$1370,"5dc9e0d5-object_0",Detalle!$B$2:$B$1370,$A25,Detalle!$C$2:$C$1370,$B25)</f>
        <v>-8.47047134737832</v>
      </c>
      <c r="F25" s="6" t="n">
        <f aca="false">SUMIFS(Detalle!$I$2:$I$1370,Detalle!$A$2:$A$1370,"a501b501-object_3",Detalle!$B$2:$B$1370,$A25,Detalle!$C$2:$C$1370,$B25)</f>
        <v>-6.67273327266727</v>
      </c>
      <c r="G25" s="6" t="n">
        <f aca="false">SUMIFS(Detalle!$I$2:$I$1370,Detalle!$A$2:$A$1370,"2b65e967-object_0-1",Detalle!$B$2:$B$1370,$A25,Detalle!$C$2:$C$1370,$B25)</f>
        <v>-7.56332127213864</v>
      </c>
      <c r="H25" s="6" t="n">
        <f aca="false">SUMIFS(Detalle!$I$2:$I$1370,Detalle!$A$2:$A$1370,"5ed925a3-object_2",Detalle!$B$2:$B$1370,$A25,Detalle!$C$2:$C$1370,$B25)</f>
        <v>-4.78825669004936</v>
      </c>
      <c r="I25" s="6" t="n">
        <f aca="false">SUMIFS(Detalle!$I$2:$I$1370,Detalle!$A$2:$A$1370,"70ef0058-object_0",Detalle!$B$2:$B$1370,$A25,Detalle!$C$2:$C$1370,$B25)</f>
        <v>-9.84614075993956</v>
      </c>
      <c r="J25" s="6" t="n">
        <f aca="false">SUMIFS(Detalle!$I$2:$I$1370,Detalle!$A$2:$A$1370,"80c13944-object_3",Detalle!$B$2:$B$1370,$A25,Detalle!$C$2:$C$1370,$B25)</f>
        <v>-8.19420356688154</v>
      </c>
      <c r="K25" s="6" t="n">
        <f aca="false">SUMIFS(Detalle!$I$2:$I$1370,Detalle!$A$2:$A$1370,"fba550bc-object_1",Detalle!$B$2:$B$1370,$A25,Detalle!$C$2:$C$1370,$B25)</f>
        <v>-8.62400560364237</v>
      </c>
      <c r="L25" s="6" t="n">
        <f aca="false">SUMIFS(Detalle!$I$2:$I$1370,Detalle!$A$2:$A$1370,"38448021-object_5",Detalle!$B$2:$B$1370,$A25,Detalle!$C$2:$C$1370,$B25)</f>
        <v>-19.4498435266005</v>
      </c>
      <c r="M25" s="6" t="n">
        <f aca="false">SUMIFS(Detalle!$I$2:$I$1370,Detalle!$A$2:$A$1370,"6e95d62d-object_4",Detalle!$B$2:$B$1370,$A25,Detalle!$C$2:$C$1370,$B25)</f>
        <v>-31.0493977456639</v>
      </c>
    </row>
    <row r="26" customFormat="false" ht="15" hidden="false" customHeight="false" outlineLevel="0" collapsed="false">
      <c r="A26" s="5" t="s">
        <v>38</v>
      </c>
      <c r="B26" s="5" t="s">
        <v>43</v>
      </c>
      <c r="C26" s="6" t="n">
        <f aca="false">SUMIFS(Detalle!$I$2:$I$1370,Detalle!$A$2:$A$1370,"2a3facb9-object_2",Detalle!$B$2:$B$1370,$A26,Detalle!$C$2:$C$1370,$B26)</f>
        <v>62.9670456090444</v>
      </c>
      <c r="D26" s="6" t="n">
        <f aca="false">SUMIFS(Detalle!$I$2:$I$1370,Detalle!$A$2:$A$1370,"2f639739-object_1",Detalle!$B$2:$B$1370,$A26,Detalle!$C$2:$C$1370,$B26)</f>
        <v>64.7854085856612</v>
      </c>
      <c r="E26" s="6" t="n">
        <f aca="false">SUMIFS(Detalle!$I$2:$I$1370,Detalle!$A$2:$A$1370,"5dc9e0d5-object_0",Detalle!$B$2:$B$1370,$A26,Detalle!$C$2:$C$1370,$B26)</f>
        <v>61.7240182043502</v>
      </c>
      <c r="F26" s="6" t="n">
        <f aca="false">SUMIFS(Detalle!$I$2:$I$1370,Detalle!$A$2:$A$1370,"a501b501-object_3",Detalle!$B$2:$B$1370,$A26,Detalle!$C$2:$C$1370,$B26)</f>
        <v>54.4791052089479</v>
      </c>
      <c r="G26" s="6" t="n">
        <f aca="false">SUMIFS(Detalle!$I$2:$I$1370,Detalle!$A$2:$A$1370,"2b65e967-object_0-1",Detalle!$B$2:$B$1370,$A26,Detalle!$C$2:$C$1370,$B26)</f>
        <v>64.2401447343363</v>
      </c>
      <c r="H26" s="6" t="n">
        <f aca="false">SUMIFS(Detalle!$I$2:$I$1370,Detalle!$A$2:$A$1370,"5ed925a3-object_2",Detalle!$B$2:$B$1370,$A26,Detalle!$C$2:$C$1370,$B26)</f>
        <v>67.6697244039411</v>
      </c>
      <c r="I26" s="6" t="n">
        <f aca="false">SUMIFS(Detalle!$I$2:$I$1370,Detalle!$A$2:$A$1370,"70ef0058-object_0",Detalle!$B$2:$B$1370,$A26,Detalle!$C$2:$C$1370,$B26)</f>
        <v>60.6350008506039</v>
      </c>
      <c r="J26" s="6" t="n">
        <f aca="false">SUMIFS(Detalle!$I$2:$I$1370,Detalle!$A$2:$A$1370,"80c13944-object_3",Detalle!$B$2:$B$1370,$A26,Detalle!$C$2:$C$1370,$B26)</f>
        <v>62.3955649567423</v>
      </c>
      <c r="K26" s="6" t="n">
        <f aca="false">SUMIFS(Detalle!$I$2:$I$1370,Detalle!$A$2:$A$1370,"fba550bc-object_1",Detalle!$B$2:$B$1370,$A26,Detalle!$C$2:$C$1370,$B26)</f>
        <v>69.5120328213339</v>
      </c>
      <c r="L26" s="6" t="n">
        <f aca="false">SUMIFS(Detalle!$I$2:$I$1370,Detalle!$A$2:$A$1370,"38448021-object_5",Detalle!$B$2:$B$1370,$A26,Detalle!$C$2:$C$1370,$B26)</f>
        <v>55.039343311637</v>
      </c>
      <c r="M26" s="6" t="n">
        <f aca="false">SUMIFS(Detalle!$I$2:$I$1370,Detalle!$A$2:$A$1370,"6e95d62d-object_4",Detalle!$B$2:$B$1370,$A26,Detalle!$C$2:$C$1370,$B26)</f>
        <v>44.3644462267799</v>
      </c>
    </row>
    <row r="27" customFormat="false" ht="15" hidden="false" customHeight="false" outlineLevel="0" collapsed="false">
      <c r="A27" s="5" t="s">
        <v>38</v>
      </c>
      <c r="B27" s="5" t="s">
        <v>44</v>
      </c>
      <c r="C27" s="6" t="n">
        <f aca="false">SUMIFS(Detalle!$I$2:$I$1370,Detalle!$A$2:$A$1370,"2a3facb9-object_2",Detalle!$B$2:$B$1370,$A27,Detalle!$C$2:$C$1370,$B27)</f>
        <v>11.4257924846</v>
      </c>
      <c r="D27" s="6" t="n">
        <f aca="false">SUMIFS(Detalle!$I$2:$I$1370,Detalle!$A$2:$A$1370,"2f639739-object_1",Detalle!$B$2:$B$1370,$A27,Detalle!$C$2:$C$1370,$B27)</f>
        <v>10.115965561135</v>
      </c>
      <c r="E27" s="6" t="n">
        <f aca="false">SUMIFS(Detalle!$I$2:$I$1370,Detalle!$A$2:$A$1370,"5dc9e0d5-object_0",Detalle!$B$2:$B$1370,$A27,Detalle!$C$2:$C$1370,$B27)</f>
        <v>14.6756548865433</v>
      </c>
      <c r="F27" s="6" t="n">
        <f aca="false">SUMIFS(Detalle!$I$2:$I$1370,Detalle!$A$2:$A$1370,"a501b501-object_3",Detalle!$B$2:$B$1370,$A27,Detalle!$C$2:$C$1370,$B27)</f>
        <v>7.8649713502865</v>
      </c>
      <c r="G27" s="6" t="n">
        <f aca="false">SUMIFS(Detalle!$I$2:$I$1370,Detalle!$A$2:$A$1370,"2b65e967-object_0-1",Detalle!$B$2:$B$1370,$A27,Detalle!$C$2:$C$1370,$B27)</f>
        <v>12.8861169301086</v>
      </c>
      <c r="H27" s="6" t="n">
        <f aca="false">SUMIFS(Detalle!$I$2:$I$1370,Detalle!$A$2:$A$1370,"5ed925a3-object_2",Detalle!$B$2:$B$1370,$A27,Detalle!$C$2:$C$1370,$B27)</f>
        <v>6.47990487039591</v>
      </c>
      <c r="I27" s="6" t="n">
        <f aca="false">SUMIFS(Detalle!$I$2:$I$1370,Detalle!$A$2:$A$1370,"70ef0058-object_0",Detalle!$B$2:$B$1370,$A27,Detalle!$C$2:$C$1370,$B27)</f>
        <v>16.0027119254671</v>
      </c>
      <c r="J27" s="6" t="n">
        <f aca="false">SUMIFS(Detalle!$I$2:$I$1370,Detalle!$A$2:$A$1370,"80c13944-object_3",Detalle!$B$2:$B$1370,$A27,Detalle!$C$2:$C$1370,$B27)</f>
        <v>10.8722719571734</v>
      </c>
      <c r="K27" s="6" t="n">
        <f aca="false">SUMIFS(Detalle!$I$2:$I$1370,Detalle!$A$2:$A$1370,"fba550bc-object_1",Detalle!$B$2:$B$1370,$A27,Detalle!$C$2:$C$1370,$B27)</f>
        <v>8.26847450843048</v>
      </c>
      <c r="L27" s="6" t="n">
        <f aca="false">SUMIFS(Detalle!$I$2:$I$1370,Detalle!$A$2:$A$1370,"38448021-object_5",Detalle!$B$2:$B$1370,$A27,Detalle!$C$2:$C$1370,$B27)</f>
        <v>23.074427347351</v>
      </c>
      <c r="M27" s="6" t="n">
        <f aca="false">SUMIFS(Detalle!$I$2:$I$1370,Detalle!$A$2:$A$1370,"6e95d62d-object_4",Detalle!$B$2:$B$1370,$A27,Detalle!$C$2:$C$1370,$B27)</f>
        <v>39.4213059108291</v>
      </c>
    </row>
    <row r="28" customFormat="false" ht="15" hidden="false" customHeight="false" outlineLevel="0" collapsed="false">
      <c r="A28" s="5" t="s">
        <v>38</v>
      </c>
      <c r="B28" s="5" t="s">
        <v>45</v>
      </c>
      <c r="C28" s="6" t="n">
        <f aca="false">SUMIFS(Detalle!$I$2:$I$1370,Detalle!$A$2:$A$1370,"2a3facb9-object_2",Detalle!$B$2:$B$1370,$A28,Detalle!$C$2:$C$1370,$B28)</f>
        <v>10.8535093131974</v>
      </c>
      <c r="D28" s="6" t="n">
        <f aca="false">SUMIFS(Detalle!$I$2:$I$1370,Detalle!$A$2:$A$1370,"2f639739-object_1",Detalle!$B$2:$B$1370,$A28,Detalle!$C$2:$C$1370,$B28)</f>
        <v>17.9133716210121</v>
      </c>
      <c r="E28" s="6" t="n">
        <f aca="false">SUMIFS(Detalle!$I$2:$I$1370,Detalle!$A$2:$A$1370,"5dc9e0d5-object_0",Detalle!$B$2:$B$1370,$A28,Detalle!$C$2:$C$1370,$B28)</f>
        <v>18.5414619033375</v>
      </c>
      <c r="F28" s="6" t="n">
        <f aca="false">SUMIFS(Detalle!$I$2:$I$1370,Detalle!$A$2:$A$1370,"a501b501-object_3",Detalle!$B$2:$B$1370,$A28,Detalle!$C$2:$C$1370,$B28)</f>
        <v>15.9864401355986</v>
      </c>
      <c r="G28" s="6" t="n">
        <f aca="false">SUMIFS(Detalle!$I$2:$I$1370,Detalle!$A$2:$A$1370,"2b65e967-object_0-1",Detalle!$B$2:$B$1370,$A28,Detalle!$C$2:$C$1370,$B28)</f>
        <v>18.5688440297086</v>
      </c>
      <c r="H28" s="6" t="n">
        <f aca="false">SUMIFS(Detalle!$I$2:$I$1370,Detalle!$A$2:$A$1370,"5ed925a3-object_2",Detalle!$B$2:$B$1370,$A28,Detalle!$C$2:$C$1370,$B28)</f>
        <v>7.03429462197973</v>
      </c>
      <c r="I28" s="6" t="n">
        <f aca="false">SUMIFS(Detalle!$I$2:$I$1370,Detalle!$A$2:$A$1370,"70ef0058-object_0",Detalle!$B$2:$B$1370,$A28,Detalle!$C$2:$C$1370,$B28)</f>
        <v>19.0125489097259</v>
      </c>
      <c r="J28" s="6" t="n">
        <f aca="false">SUMIFS(Detalle!$I$2:$I$1370,Detalle!$A$2:$A$1370,"80c13944-object_3",Detalle!$B$2:$B$1370,$A28,Detalle!$C$2:$C$1370,$B28)</f>
        <v>14.0217641928402</v>
      </c>
      <c r="K28" s="6" t="n">
        <f aca="false">SUMIFS(Detalle!$I$2:$I$1370,Detalle!$A$2:$A$1370,"fba550bc-object_1",Detalle!$B$2:$B$1370,$A28,Detalle!$C$2:$C$1370,$B28)</f>
        <v>9.2495121829189</v>
      </c>
      <c r="L28" s="6" t="n">
        <f aca="false">SUMIFS(Detalle!$I$2:$I$1370,Detalle!$A$2:$A$1370,"38448021-object_5",Detalle!$B$2:$B$1370,$A28,Detalle!$C$2:$C$1370,$B28)</f>
        <v>25.894497935351</v>
      </c>
      <c r="M28" s="6" t="n">
        <f aca="false">SUMIFS(Detalle!$I$2:$I$1370,Detalle!$A$2:$A$1370,"6e95d62d-object_4",Detalle!$B$2:$B$1370,$A28,Detalle!$C$2:$C$1370,$B28)</f>
        <v>28.7009638933845</v>
      </c>
    </row>
    <row r="29" customFormat="false" ht="15" hidden="false" customHeight="false" outlineLevel="0" collapsed="false">
      <c r="A29" s="5" t="s">
        <v>38</v>
      </c>
      <c r="B29" s="5" t="s">
        <v>46</v>
      </c>
      <c r="C29" s="6" t="n">
        <f aca="false">SUMIFS(Detalle!$I$2:$I$1370,Detalle!$A$2:$A$1370,"2a3facb9-object_2",Detalle!$B$2:$B$1370,$A29,Detalle!$C$2:$C$1370,$B29)</f>
        <v>6.31001809301693</v>
      </c>
      <c r="D29" s="6" t="n">
        <f aca="false">SUMIFS(Detalle!$I$2:$I$1370,Detalle!$A$2:$A$1370,"2f639739-object_1",Detalle!$B$2:$B$1370,$A29,Detalle!$C$2:$C$1370,$B29)</f>
        <v>8.22398292088884</v>
      </c>
      <c r="E29" s="6" t="n">
        <f aca="false">SUMIFS(Detalle!$I$2:$I$1370,Detalle!$A$2:$A$1370,"5dc9e0d5-object_0",Detalle!$B$2:$B$1370,$A29,Detalle!$C$2:$C$1370,$B29)</f>
        <v>9.33314815606171</v>
      </c>
      <c r="F29" s="6" t="n">
        <f aca="false">SUMIFS(Detalle!$I$2:$I$1370,Detalle!$A$2:$A$1370,"a501b501-object_3",Detalle!$B$2:$B$1370,$A29,Detalle!$C$2:$C$1370,$B29)</f>
        <v>5.24014759852402</v>
      </c>
      <c r="G29" s="6" t="n">
        <f aca="false">SUMIFS(Detalle!$I$2:$I$1370,Detalle!$A$2:$A$1370,"2b65e967-object_0-1",Detalle!$B$2:$B$1370,$A29,Detalle!$C$2:$C$1370,$B29)</f>
        <v>8.38792610931251</v>
      </c>
      <c r="H29" s="6" t="n">
        <f aca="false">SUMIFS(Detalle!$I$2:$I$1370,Detalle!$A$2:$A$1370,"5ed925a3-object_2",Detalle!$B$2:$B$1370,$A29,Detalle!$C$2:$C$1370,$B29)</f>
        <v>6.56059515958191</v>
      </c>
      <c r="I29" s="6" t="n">
        <f aca="false">SUMIFS(Detalle!$I$2:$I$1370,Detalle!$A$2:$A$1370,"70ef0058-object_0",Detalle!$B$2:$B$1370,$A29,Detalle!$C$2:$C$1370,$B29)</f>
        <v>13.6526433767975</v>
      </c>
      <c r="J29" s="6" t="n">
        <f aca="false">SUMIFS(Detalle!$I$2:$I$1370,Detalle!$A$2:$A$1370,"80c13944-object_3",Detalle!$B$2:$B$1370,$A29,Detalle!$C$2:$C$1370,$B29)</f>
        <v>10.7437018175256</v>
      </c>
      <c r="K29" s="6" t="n">
        <f aca="false">SUMIFS(Detalle!$I$2:$I$1370,Detalle!$A$2:$A$1370,"fba550bc-object_1",Detalle!$B$2:$B$1370,$A29,Detalle!$C$2:$C$1370,$B29)</f>
        <v>6.04783109020864</v>
      </c>
      <c r="L29" s="6" t="n">
        <f aca="false">SUMIFS(Detalle!$I$2:$I$1370,Detalle!$A$2:$A$1370,"38448021-object_5",Detalle!$B$2:$B$1370,$A29,Detalle!$C$2:$C$1370,$B29)</f>
        <v>16.8187908055631</v>
      </c>
      <c r="M29" s="6" t="n">
        <f aca="false">SUMIFS(Detalle!$I$2:$I$1370,Detalle!$A$2:$A$1370,"6e95d62d-object_4",Detalle!$B$2:$B$1370,$A29,Detalle!$C$2:$C$1370,$B29)</f>
        <v>31.8371979776858</v>
      </c>
    </row>
    <row r="30" customFormat="false" ht="15" hidden="false" customHeight="false" outlineLevel="0" collapsed="false">
      <c r="A30" s="5" t="s">
        <v>38</v>
      </c>
      <c r="B30" s="5" t="s">
        <v>47</v>
      </c>
      <c r="C30" s="6" t="n">
        <f aca="false">SUMIFS(Detalle!$I$2:$I$1370,Detalle!$A$2:$A$1370,"2a3facb9-object_2",Detalle!$B$2:$B$1370,$A30,Detalle!$C$2:$C$1370,$B30)</f>
        <v>15.9116579687712</v>
      </c>
      <c r="D30" s="6" t="n">
        <f aca="false">SUMIFS(Detalle!$I$2:$I$1370,Detalle!$A$2:$A$1370,"2f639739-object_1",Detalle!$B$2:$B$1370,$A30,Detalle!$C$2:$C$1370,$B30)</f>
        <v>20.0234035942308</v>
      </c>
      <c r="E30" s="6" t="n">
        <f aca="false">SUMIFS(Detalle!$I$2:$I$1370,Detalle!$A$2:$A$1370,"5dc9e0d5-object_0",Detalle!$B$2:$B$1370,$A30,Detalle!$C$2:$C$1370,$B30)</f>
        <v>20.3124866458698</v>
      </c>
      <c r="F30" s="6" t="n">
        <f aca="false">SUMIFS(Detalle!$I$2:$I$1370,Detalle!$A$2:$A$1370,"a501b501-object_3",Detalle!$B$2:$B$1370,$A30,Detalle!$C$2:$C$1370,$B30)</f>
        <v>20.8161918380816</v>
      </c>
      <c r="G30" s="6" t="n">
        <f aca="false">SUMIFS(Detalle!$I$2:$I$1370,Detalle!$A$2:$A$1370,"2b65e967-object_0-1",Detalle!$B$2:$B$1370,$A30,Detalle!$C$2:$C$1370,$B30)</f>
        <v>18.5688440297086</v>
      </c>
      <c r="H30" s="6" t="n">
        <f aca="false">SUMIFS(Detalle!$I$2:$I$1370,Detalle!$A$2:$A$1370,"5ed925a3-object_2",Detalle!$B$2:$B$1370,$A30,Detalle!$C$2:$C$1370,$B30)</f>
        <v>7.12068069628475</v>
      </c>
      <c r="I30" s="6" t="n">
        <f aca="false">SUMIFS(Detalle!$I$2:$I$1370,Detalle!$A$2:$A$1370,"70ef0058-object_0",Detalle!$B$2:$B$1370,$A30,Detalle!$C$2:$C$1370,$B30)</f>
        <v>19.0125489097259</v>
      </c>
      <c r="J30" s="6" t="n">
        <f aca="false">SUMIFS(Detalle!$I$2:$I$1370,Detalle!$A$2:$A$1370,"80c13944-object_3",Detalle!$B$2:$B$1370,$A30,Detalle!$C$2:$C$1370,$B30)</f>
        <v>16.7036420687512</v>
      </c>
      <c r="K30" s="6" t="n">
        <f aca="false">SUMIFS(Detalle!$I$2:$I$1370,Detalle!$A$2:$A$1370,"fba550bc-object_1",Detalle!$B$2:$B$1370,$A30,Detalle!$C$2:$C$1370,$B30)</f>
        <v>16.2479611747636</v>
      </c>
      <c r="L30" s="6" t="n">
        <f aca="false">SUMIFS(Detalle!$I$2:$I$1370,Detalle!$A$2:$A$1370,"38448021-object_5",Detalle!$B$2:$B$1370,$A30,Detalle!$C$2:$C$1370,$B30)</f>
        <v>26.6714658508054</v>
      </c>
      <c r="M30" s="6" t="n">
        <f aca="false">SUMIFS(Detalle!$I$2:$I$1370,Detalle!$A$2:$A$1370,"6e95d62d-object_4",Detalle!$B$2:$B$1370,$A30,Detalle!$C$2:$C$1370,$B30)</f>
        <v>28.7009638933845</v>
      </c>
    </row>
    <row r="31" customFormat="false" ht="15" hidden="false" customHeight="false" outlineLevel="0" collapsed="false">
      <c r="A31" s="5" t="s">
        <v>38</v>
      </c>
      <c r="B31" s="5" t="s">
        <v>48</v>
      </c>
      <c r="C31" s="6" t="n">
        <f aca="false">SUMIFS(Detalle!$I$2:$I$1370,Detalle!$A$2:$A$1370,"2a3facb9-object_2",Detalle!$B$2:$B$1370,$A31,Detalle!$C$2:$C$1370,$B31)</f>
        <v>28.8913582312769</v>
      </c>
      <c r="D31" s="6" t="n">
        <f aca="false">SUMIFS(Detalle!$I$2:$I$1370,Detalle!$A$2:$A$1370,"2f639739-object_1",Detalle!$B$2:$B$1370,$A31,Detalle!$C$2:$C$1370,$B31)</f>
        <v>30.2536308145654</v>
      </c>
      <c r="E31" s="6" t="n">
        <f aca="false">SUMIFS(Detalle!$I$2:$I$1370,Detalle!$A$2:$A$1370,"5dc9e0d5-object_0",Detalle!$B$2:$B$1370,$A31,Detalle!$C$2:$C$1370,$B31)</f>
        <v>29.1087453527627</v>
      </c>
      <c r="F31" s="6" t="n">
        <f aca="false">SUMIFS(Detalle!$I$2:$I$1370,Detalle!$A$2:$A$1370,"a501b501-object_3",Detalle!$B$2:$B$1370,$A31,Detalle!$C$2:$C$1370,$B31)</f>
        <v>20.0276997230028</v>
      </c>
      <c r="G31" s="6" t="n">
        <f aca="false">SUMIFS(Detalle!$I$2:$I$1370,Detalle!$A$2:$A$1370,"2b65e967-object_0-1",Detalle!$B$2:$B$1370,$A31,Detalle!$C$2:$C$1370,$B31)</f>
        <v>27.8642163397448</v>
      </c>
      <c r="H31" s="6" t="n">
        <f aca="false">SUMIFS(Detalle!$I$2:$I$1370,Detalle!$A$2:$A$1370,"5ed925a3-object_2",Detalle!$B$2:$B$1370,$A31,Detalle!$C$2:$C$1370,$B31)</f>
        <v>18.3233407278614</v>
      </c>
      <c r="I31" s="6" t="n">
        <f aca="false">SUMIFS(Detalle!$I$2:$I$1370,Detalle!$A$2:$A$1370,"70ef0058-object_0",Detalle!$B$2:$B$1370,$A31,Detalle!$C$2:$C$1370,$B31)</f>
        <v>36.7141170230864</v>
      </c>
      <c r="J31" s="6" t="n">
        <f aca="false">SUMIFS(Detalle!$I$2:$I$1370,Detalle!$A$2:$A$1370,"80c13944-object_3",Detalle!$B$2:$B$1370,$A31,Detalle!$C$2:$C$1370,$B31)</f>
        <v>28.6416176278935</v>
      </c>
      <c r="K31" s="6" t="n">
        <f aca="false">SUMIFS(Detalle!$I$2:$I$1370,Detalle!$A$2:$A$1370,"fba550bc-object_1",Detalle!$B$2:$B$1370,$A31,Detalle!$C$2:$C$1370,$B31)</f>
        <v>26.3016961024666</v>
      </c>
      <c r="L31" s="6" t="n">
        <f aca="false">SUMIFS(Detalle!$I$2:$I$1370,Detalle!$A$2:$A$1370,"38448021-object_5",Detalle!$B$2:$B$1370,$A31,Detalle!$C$2:$C$1370,$B31)</f>
        <v>60.881800093984</v>
      </c>
      <c r="M31" s="6" t="n">
        <f aca="false">SUMIFS(Detalle!$I$2:$I$1370,Detalle!$A$2:$A$1370,"6e95d62d-object_4",Detalle!$B$2:$B$1370,$A31,Detalle!$C$2:$C$1370,$B31)</f>
        <v>102.936509073201</v>
      </c>
    </row>
    <row r="32" customFormat="false" ht="15" hidden="false" customHeight="false" outlineLevel="0" collapsed="false">
      <c r="A32" s="7" t="s">
        <v>30</v>
      </c>
      <c r="B32" s="7" t="s">
        <v>49</v>
      </c>
      <c r="C32" s="8" t="n">
        <f aca="false">SUMIFS(Detalle!$I$2:$I$1370,Detalle!$A$2:$A$1370,"2a3facb9-object_2",Detalle!$B$2:$B$1370,$A32,Detalle!$C$2:$C$1370,$B32)</f>
        <v>45.1825512199713</v>
      </c>
      <c r="D32" s="8" t="n">
        <f aca="false">SUMIFS(Detalle!$I$2:$I$1370,Detalle!$A$2:$A$1370,"2f639739-object_1",Detalle!$B$2:$B$1370,$A32,Detalle!$C$2:$C$1370,$B32)</f>
        <v>44.4639724970182</v>
      </c>
      <c r="E32" s="8" t="n">
        <f aca="false">SUMIFS(Detalle!$I$2:$I$1370,Detalle!$A$2:$A$1370,"5dc9e0d5-object_0",Detalle!$B$2:$B$1370,$A32,Detalle!$C$2:$C$1370,$B32)</f>
        <v>46.1745224563053</v>
      </c>
      <c r="F32" s="8" t="n">
        <f aca="false">SUMIFS(Detalle!$I$2:$I$1370,Detalle!$A$2:$A$1370,"a501b501-object_3",Detalle!$B$2:$B$1370,$A32,Detalle!$C$2:$C$1370,$B32)</f>
        <v>27.3559264407356</v>
      </c>
      <c r="G32" s="8" t="n">
        <f aca="false">SUMIFS(Detalle!$I$2:$I$1370,Detalle!$A$2:$A$1370,"2b65e967-object_0-1",Detalle!$B$2:$B$1370,$A32,Detalle!$C$2:$C$1370,$B32)</f>
        <v>44.9085888402209</v>
      </c>
      <c r="H32" s="8" t="n">
        <f aca="false">SUMIFS(Detalle!$I$2:$I$1370,Detalle!$A$2:$A$1370,"5ed925a3-object_2",Detalle!$B$2:$B$1370,$A32,Detalle!$C$2:$C$1370,$B32)</f>
        <v>40.0783919899275</v>
      </c>
      <c r="I32" s="8" t="n">
        <f aca="false">SUMIFS(Detalle!$I$2:$I$1370,Detalle!$A$2:$A$1370,"70ef0058-object_0",Detalle!$B$2:$B$1370,$A32,Detalle!$C$2:$C$1370,$B32)</f>
        <v>50.5378818961463</v>
      </c>
      <c r="J32" s="8" t="n">
        <f aca="false">SUMIFS(Detalle!$I$2:$I$1370,Detalle!$A$2:$A$1370,"80c13944-object_3",Detalle!$B$2:$B$1370,$A32,Detalle!$C$2:$C$1370,$B32)</f>
        <v>42.6129061362793</v>
      </c>
      <c r="K32" s="8" t="n">
        <f aca="false">SUMIFS(Detalle!$I$2:$I$1370,Detalle!$A$2:$A$1370,"fba550bc-object_1",Detalle!$B$2:$B$1370,$A32,Detalle!$C$2:$C$1370,$B32)</f>
        <v>40.3537299244509</v>
      </c>
      <c r="L32" s="8" t="n">
        <f aca="false">SUMIFS(Detalle!$I$2:$I$1370,Detalle!$A$2:$A$1370,"38448021-object_5",Detalle!$B$2:$B$1370,$A32,Detalle!$C$2:$C$1370,$B32)</f>
        <v>79.0493616085266</v>
      </c>
      <c r="M32" s="8" t="n">
        <f aca="false">SUMIFS(Detalle!$I$2:$I$1370,Detalle!$A$2:$A$1370,"6e95d62d-object_4",Detalle!$B$2:$B$1370,$A32,Detalle!$C$2:$C$1370,$B32)</f>
        <v>88.3520001145787</v>
      </c>
    </row>
    <row r="33" customFormat="false" ht="15" hidden="false" customHeight="false" outlineLevel="0" collapsed="false">
      <c r="A33" s="7" t="s">
        <v>30</v>
      </c>
      <c r="B33" s="7" t="s">
        <v>50</v>
      </c>
      <c r="C33" s="8" t="n">
        <f aca="false">SUMIFS(Detalle!$I$2:$I$1370,Detalle!$A$2:$A$1370,"2a3facb9-object_2",Detalle!$B$2:$B$1370,$A33,Detalle!$C$2:$C$1370,$B33)</f>
        <v>32.5654956754552</v>
      </c>
      <c r="D33" s="8" t="n">
        <f aca="false">SUMIFS(Detalle!$I$2:$I$1370,Detalle!$A$2:$A$1370,"2f639739-object_1",Detalle!$B$2:$B$1370,$A33,Detalle!$C$2:$C$1370,$B33)</f>
        <v>34.1470968517906</v>
      </c>
      <c r="E33" s="8" t="n">
        <f aca="false">SUMIFS(Detalle!$I$2:$I$1370,Detalle!$A$2:$A$1370,"5dc9e0d5-object_0",Detalle!$B$2:$B$1370,$A33,Detalle!$C$2:$C$1370,$B33)</f>
        <v>30.5884898081279</v>
      </c>
      <c r="F33" s="8" t="n">
        <f aca="false">SUMIFS(Detalle!$I$2:$I$1370,Detalle!$A$2:$A$1370,"a501b501-object_3",Detalle!$B$2:$B$1370,$A33,Detalle!$C$2:$C$1370,$B33)</f>
        <v>28.6308136918631</v>
      </c>
      <c r="G33" s="8" t="n">
        <f aca="false">SUMIFS(Detalle!$I$2:$I$1370,Detalle!$A$2:$A$1370,"2b65e967-object_0-1",Detalle!$B$2:$B$1370,$A33,Detalle!$C$2:$C$1370,$B33)</f>
        <v>31.1712054846696</v>
      </c>
      <c r="H33" s="8" t="n">
        <f aca="false">SUMIFS(Detalle!$I$2:$I$1370,Detalle!$A$2:$A$1370,"5ed925a3-object_2",Detalle!$B$2:$B$1370,$A33,Detalle!$C$2:$C$1370,$B33)</f>
        <v>34.5259507964107</v>
      </c>
      <c r="I33" s="8" t="n">
        <f aca="false">SUMIFS(Detalle!$I$2:$I$1370,Detalle!$A$2:$A$1370,"70ef0058-object_0",Detalle!$B$2:$B$1370,$A33,Detalle!$C$2:$C$1370,$B33)</f>
        <v>34.6682644677721</v>
      </c>
      <c r="J33" s="8" t="n">
        <f aca="false">SUMIFS(Detalle!$I$2:$I$1370,Detalle!$A$2:$A$1370,"80c13944-object_3",Detalle!$B$2:$B$1370,$A33,Detalle!$C$2:$C$1370,$B33)</f>
        <v>31.2806387905886</v>
      </c>
      <c r="K33" s="8" t="n">
        <f aca="false">SUMIFS(Detalle!$I$2:$I$1370,Detalle!$A$2:$A$1370,"fba550bc-object_1",Detalle!$B$2:$B$1370,$A33,Detalle!$C$2:$C$1370,$B33)</f>
        <v>41.4260269174964</v>
      </c>
      <c r="L33" s="8" t="n">
        <f aca="false">SUMIFS(Detalle!$I$2:$I$1370,Detalle!$A$2:$A$1370,"38448021-object_5",Detalle!$B$2:$B$1370,$A33,Detalle!$C$2:$C$1370,$B33)</f>
        <v>57.9382504974154</v>
      </c>
      <c r="M33" s="8" t="n">
        <f aca="false">SUMIFS(Detalle!$I$2:$I$1370,Detalle!$A$2:$A$1370,"6e95d62d-object_4",Detalle!$B$2:$B$1370,$A33,Detalle!$C$2:$C$1370,$B33)</f>
        <v>93.4951518884003</v>
      </c>
    </row>
    <row r="34" customFormat="false" ht="15" hidden="false" customHeight="false" outlineLevel="0" collapsed="false">
      <c r="A34" s="7" t="s">
        <v>30</v>
      </c>
      <c r="B34" s="7" t="s">
        <v>51</v>
      </c>
      <c r="C34" s="8" t="n">
        <f aca="false">SUMIFS(Detalle!$I$2:$I$1370,Detalle!$A$2:$A$1370,"2a3facb9-object_2",Detalle!$B$2:$B$1370,$A34,Detalle!$C$2:$C$1370,$B34)</f>
        <v>159.990901199578</v>
      </c>
      <c r="D34" s="8" t="n">
        <f aca="false">SUMIFS(Detalle!$I$2:$I$1370,Detalle!$A$2:$A$1370,"2f639739-object_1",Detalle!$B$2:$B$1370,$A34,Detalle!$C$2:$C$1370,$B34)</f>
        <v>171.851439797135</v>
      </c>
      <c r="E34" s="8" t="n">
        <f aca="false">SUMIFS(Detalle!$I$2:$I$1370,Detalle!$A$2:$A$1370,"5dc9e0d5-object_0",Detalle!$B$2:$B$1370,$A34,Detalle!$C$2:$C$1370,$B34)</f>
        <v>161.505277552241</v>
      </c>
      <c r="F34" s="8" t="n">
        <f aca="false">SUMIFS(Detalle!$I$2:$I$1370,Detalle!$A$2:$A$1370,"a501b501-object_3",Detalle!$B$2:$B$1370,$A34,Detalle!$C$2:$C$1370,$B34)</f>
        <v>122.362576374236</v>
      </c>
      <c r="G34" s="8" t="n">
        <f aca="false">SUMIFS(Detalle!$I$2:$I$1370,Detalle!$A$2:$A$1370,"2b65e967-object_0-1",Detalle!$B$2:$B$1370,$A34,Detalle!$C$2:$C$1370,$B34)</f>
        <v>159.628642163397</v>
      </c>
      <c r="H34" s="8" t="n">
        <f aca="false">SUMIFS(Detalle!$I$2:$I$1370,Detalle!$A$2:$A$1370,"5ed925a3-object_2",Detalle!$B$2:$B$1370,$A34,Detalle!$C$2:$C$1370,$B34)</f>
        <v>142.124078182145</v>
      </c>
      <c r="I34" s="8" t="n">
        <f aca="false">SUMIFS(Detalle!$I$2:$I$1370,Detalle!$A$2:$A$1370,"70ef0058-object_0",Detalle!$B$2:$B$1370,$A34,Detalle!$C$2:$C$1370,$B34)</f>
        <v>197.833561828899</v>
      </c>
      <c r="J34" s="8" t="n">
        <f aca="false">SUMIFS(Detalle!$I$2:$I$1370,Detalle!$A$2:$A$1370,"80c13944-object_3",Detalle!$B$2:$B$1370,$A34,Detalle!$C$2:$C$1370,$B34)</f>
        <v>172.997313310142</v>
      </c>
      <c r="K34" s="8" t="n">
        <f aca="false">SUMIFS(Detalle!$I$2:$I$1370,Detalle!$A$2:$A$1370,"fba550bc-object_1",Detalle!$B$2:$B$1370,$A34,Detalle!$C$2:$C$1370,$B34)</f>
        <v>186.579676789913</v>
      </c>
      <c r="L34" s="8" t="n">
        <f aca="false">SUMIFS(Detalle!$I$2:$I$1370,Detalle!$A$2:$A$1370,"38448021-object_5",Detalle!$B$2:$B$1370,$A34,Detalle!$C$2:$C$1370,$B34)</f>
        <v>270.844556425408</v>
      </c>
      <c r="M34" s="8" t="n">
        <f aca="false">SUMIFS(Detalle!$I$2:$I$1370,Detalle!$A$2:$A$1370,"6e95d62d-object_4",Detalle!$B$2:$B$1370,$A34,Detalle!$C$2:$C$1370,$B34)</f>
        <v>284.650320104267</v>
      </c>
    </row>
    <row r="35" customFormat="false" ht="15" hidden="false" customHeight="false" outlineLevel="0" collapsed="false">
      <c r="A35" s="7" t="s">
        <v>30</v>
      </c>
      <c r="B35" s="7" t="s">
        <v>52</v>
      </c>
      <c r="C35" s="8" t="n">
        <f aca="false">SUMIFS(Detalle!$I$2:$I$1370,Detalle!$A$2:$A$1370,"2a3facb9-object_2",Detalle!$B$2:$B$1370,$A35,Detalle!$C$2:$C$1370,$B35)</f>
        <v>46.0310405053495</v>
      </c>
      <c r="D35" s="8" t="n">
        <f aca="false">SUMIFS(Detalle!$I$2:$I$1370,Detalle!$A$2:$A$1370,"2f639739-object_1",Detalle!$B$2:$B$1370,$A35,Detalle!$C$2:$C$1370,$B35)</f>
        <v>40.1582123061812</v>
      </c>
      <c r="E35" s="8" t="n">
        <f aca="false">SUMIFS(Detalle!$I$2:$I$1370,Detalle!$A$2:$A$1370,"5dc9e0d5-object_0",Detalle!$B$2:$B$1370,$A35,Detalle!$C$2:$C$1370,$B35)</f>
        <v>47.5598799196616</v>
      </c>
      <c r="F35" s="8" t="n">
        <f aca="false">SUMIFS(Detalle!$I$2:$I$1370,Detalle!$A$2:$A$1370,"a501b501-object_3",Detalle!$B$2:$B$1370,$A35,Detalle!$C$2:$C$1370,$B35)</f>
        <v>26.8676313236868</v>
      </c>
      <c r="G35" s="8" t="n">
        <f aca="false">SUMIFS(Detalle!$I$2:$I$1370,Detalle!$A$2:$A$1370,"2b65e967-object_0-1",Detalle!$B$2:$B$1370,$A35,Detalle!$C$2:$C$1370,$B35)</f>
        <v>46.6844410588459</v>
      </c>
      <c r="H35" s="8" t="n">
        <f aca="false">SUMIFS(Detalle!$I$2:$I$1370,Detalle!$A$2:$A$1370,"5ed925a3-object_2",Detalle!$B$2:$B$1370,$A35,Detalle!$C$2:$C$1370,$B35)</f>
        <v>44.8894318204529</v>
      </c>
      <c r="I35" s="8" t="n">
        <f aca="false">SUMIFS(Detalle!$I$2:$I$1370,Detalle!$A$2:$A$1370,"70ef0058-object_0",Detalle!$B$2:$B$1370,$A35,Detalle!$C$2:$C$1370,$B35)</f>
        <v>54.0838995686938</v>
      </c>
      <c r="J35" s="8" t="n">
        <f aca="false">SUMIFS(Detalle!$I$2:$I$1370,Detalle!$A$2:$A$1370,"80c13944-object_3",Detalle!$B$2:$B$1370,$A35,Detalle!$C$2:$C$1370,$B35)</f>
        <v>46.9814337700875</v>
      </c>
      <c r="K35" s="8" t="n">
        <f aca="false">SUMIFS(Detalle!$I$2:$I$1370,Detalle!$A$2:$A$1370,"fba550bc-object_1",Detalle!$B$2:$B$1370,$A35,Detalle!$C$2:$C$1370,$B35)</f>
        <v>44.8919797868615</v>
      </c>
      <c r="L35" s="8" t="n">
        <f aca="false">SUMIFS(Detalle!$I$2:$I$1370,Detalle!$A$2:$A$1370,"38448021-object_5",Detalle!$B$2:$B$1370,$A35,Detalle!$C$2:$C$1370,$B35)</f>
        <v>84.5850205465071</v>
      </c>
      <c r="M35" s="8" t="n">
        <f aca="false">SUMIFS(Detalle!$I$2:$I$1370,Detalle!$A$2:$A$1370,"6e95d62d-object_4",Detalle!$B$2:$B$1370,$A35,Detalle!$C$2:$C$1370,$B35)</f>
        <v>125.181320806061</v>
      </c>
    </row>
    <row r="36" customFormat="false" ht="15" hidden="false" customHeight="false" outlineLevel="0" collapsed="false">
      <c r="A36" s="7" t="s">
        <v>30</v>
      </c>
      <c r="B36" s="7" t="s">
        <v>53</v>
      </c>
      <c r="C36" s="8" t="n">
        <f aca="false">SUMIFS(Detalle!$I$2:$I$1370,Detalle!$A$2:$A$1370,"2a3facb9-object_2",Detalle!$B$2:$B$1370,$A36,Detalle!$C$2:$C$1370,$B36)</f>
        <v>36.0131043642867</v>
      </c>
      <c r="D36" s="8" t="n">
        <f aca="false">SUMIFS(Detalle!$I$2:$I$1370,Detalle!$A$2:$A$1370,"2f639739-object_1",Detalle!$B$2:$B$1370,$A36,Detalle!$C$2:$C$1370,$B36)</f>
        <v>39.6764089765563</v>
      </c>
      <c r="E36" s="8" t="n">
        <f aca="false">SUMIFS(Detalle!$I$2:$I$1370,Detalle!$A$2:$A$1370,"5dc9e0d5-object_0",Detalle!$B$2:$B$1370,$A36,Detalle!$C$2:$C$1370,$B36)</f>
        <v>36.3521858040255</v>
      </c>
      <c r="F36" s="8" t="n">
        <f aca="false">SUMIFS(Detalle!$I$2:$I$1370,Detalle!$A$2:$A$1370,"a501b501-object_3",Detalle!$B$2:$B$1370,$A36,Detalle!$C$2:$C$1370,$B36)</f>
        <v>26.9607303926961</v>
      </c>
      <c r="G36" s="8" t="n">
        <f aca="false">SUMIFS(Detalle!$I$2:$I$1370,Detalle!$A$2:$A$1370,"2b65e967-object_0-1",Detalle!$B$2:$B$1370,$A36,Detalle!$C$2:$C$1370,$B36)</f>
        <v>37.5842696629214</v>
      </c>
      <c r="H36" s="8" t="n">
        <f aca="false">SUMIFS(Detalle!$I$2:$I$1370,Detalle!$A$2:$A$1370,"5ed925a3-object_2",Detalle!$B$2:$B$1370,$A36,Detalle!$C$2:$C$1370,$B36)</f>
        <v>38.0298079421228</v>
      </c>
      <c r="I36" s="8" t="n">
        <f aca="false">SUMIFS(Detalle!$I$2:$I$1370,Detalle!$A$2:$A$1370,"70ef0058-object_0",Detalle!$B$2:$B$1370,$A36,Detalle!$C$2:$C$1370,$B36)</f>
        <v>39.6916310580512</v>
      </c>
      <c r="J36" s="8" t="n">
        <f aca="false">SUMIFS(Detalle!$I$2:$I$1370,Detalle!$A$2:$A$1370,"80c13944-object_3",Detalle!$B$2:$B$1370,$A36,Detalle!$C$2:$C$1370,$B36)</f>
        <v>38.2596164449479</v>
      </c>
      <c r="K36" s="8" t="n">
        <f aca="false">SUMIFS(Detalle!$I$2:$I$1370,Detalle!$A$2:$A$1370,"fba550bc-object_1",Detalle!$B$2:$B$1370,$A36,Detalle!$C$2:$C$1370,$B36)</f>
        <v>42.2188422474609</v>
      </c>
      <c r="L36" s="8" t="n">
        <f aca="false">SUMIFS(Detalle!$I$2:$I$1370,Detalle!$A$2:$A$1370,"38448021-object_5",Detalle!$B$2:$B$1370,$A36,Detalle!$C$2:$C$1370,$B36)</f>
        <v>70.5359588869892</v>
      </c>
      <c r="M36" s="8" t="n">
        <f aca="false">SUMIFS(Detalle!$I$2:$I$1370,Detalle!$A$2:$A$1370,"6e95d62d-object_4",Detalle!$B$2:$B$1370,$A36,Detalle!$C$2:$C$1370,$B36)</f>
        <v>126.336489021928</v>
      </c>
    </row>
    <row r="37" customFormat="false" ht="15" hidden="false" customHeight="false" outlineLevel="0" collapsed="false">
      <c r="A37" s="7" t="s">
        <v>30</v>
      </c>
      <c r="B37" s="7" t="s">
        <v>54</v>
      </c>
      <c r="C37" s="8" t="n">
        <f aca="false">SUMIFS(Detalle!$I$2:$I$1370,Detalle!$A$2:$A$1370,"2a3facb9-object_2",Detalle!$B$2:$B$1370,$A37,Detalle!$C$2:$C$1370,$B37)</f>
        <v>168.232374996078</v>
      </c>
      <c r="D37" s="8" t="n">
        <f aca="false">SUMIFS(Detalle!$I$2:$I$1370,Detalle!$A$2:$A$1370,"2f639739-object_1",Detalle!$B$2:$B$1370,$A37,Detalle!$C$2:$C$1370,$B37)</f>
        <v>167.90655601327</v>
      </c>
      <c r="E37" s="8" t="n">
        <f aca="false">SUMIFS(Detalle!$I$2:$I$1370,Detalle!$A$2:$A$1370,"5dc9e0d5-object_0",Detalle!$B$2:$B$1370,$A37,Detalle!$C$2:$C$1370,$B37)</f>
        <v>157.518695782232</v>
      </c>
      <c r="F37" s="8" t="n">
        <f aca="false">SUMIFS(Detalle!$I$2:$I$1370,Detalle!$A$2:$A$1370,"a501b501-object_3",Detalle!$B$2:$B$1370,$A37,Detalle!$C$2:$C$1370,$B37)</f>
        <v>104.947350526495</v>
      </c>
      <c r="G37" s="8" t="n">
        <f aca="false">SUMIFS(Detalle!$I$2:$I$1370,Detalle!$A$2:$A$1370,"2b65e967-object_0-1",Detalle!$B$2:$B$1370,$A37,Detalle!$C$2:$C$1370,$B37)</f>
        <v>176.250238049895</v>
      </c>
      <c r="H37" s="8" t="n">
        <f aca="false">SUMIFS(Detalle!$I$2:$I$1370,Detalle!$A$2:$A$1370,"5ed925a3-object_2",Detalle!$B$2:$B$1370,$A37,Detalle!$C$2:$C$1370,$B37)</f>
        <v>154.20009193197</v>
      </c>
      <c r="I37" s="8" t="n">
        <f aca="false">SUMIFS(Detalle!$I$2:$I$1370,Detalle!$A$2:$A$1370,"70ef0058-object_0",Detalle!$B$2:$B$1370,$A37,Detalle!$C$2:$C$1370,$B37)</f>
        <v>179.464619880115</v>
      </c>
      <c r="J37" s="8" t="n">
        <f aca="false">SUMIFS(Detalle!$I$2:$I$1370,Detalle!$A$2:$A$1370,"80c13944-object_3",Detalle!$B$2:$B$1370,$A37,Detalle!$C$2:$C$1370,$B37)</f>
        <v>188.998105282153</v>
      </c>
      <c r="K37" s="8" t="n">
        <f aca="false">SUMIFS(Detalle!$I$2:$I$1370,Detalle!$A$2:$A$1370,"fba550bc-object_1",Detalle!$B$2:$B$1370,$A37,Detalle!$C$2:$C$1370,$B37)</f>
        <v>186.690899084405</v>
      </c>
      <c r="L37" s="8" t="n">
        <f aca="false">SUMIFS(Detalle!$I$2:$I$1370,Detalle!$A$2:$A$1370,"38448021-object_5",Detalle!$B$2:$B$1370,$A37,Detalle!$C$2:$C$1370,$B37)</f>
        <v>320.948538748413</v>
      </c>
      <c r="M37" s="8" t="n">
        <f aca="false">SUMIFS(Detalle!$I$2:$I$1370,Detalle!$A$2:$A$1370,"6e95d62d-object_4",Detalle!$B$2:$B$1370,$A37,Detalle!$C$2:$C$1370,$B37)</f>
        <v>726.184457398204</v>
      </c>
    </row>
    <row r="38" customFormat="false" ht="15" hidden="false" customHeight="false" outlineLevel="0" collapsed="false">
      <c r="A38" s="7" t="s">
        <v>30</v>
      </c>
      <c r="B38" s="7" t="s">
        <v>55</v>
      </c>
      <c r="C38" s="8" t="n">
        <f aca="false">SUMIFS(Detalle!$I$2:$I$1370,Detalle!$A$2:$A$1370,"2a3facb9-object_2",Detalle!$B$2:$B$1370,$A38,Detalle!$C$2:$C$1370,$B38)</f>
        <v>39.5819258081722</v>
      </c>
      <c r="D38" s="8" t="n">
        <f aca="false">SUMIFS(Detalle!$I$2:$I$1370,Detalle!$A$2:$A$1370,"2f639739-object_1",Detalle!$B$2:$B$1370,$A38,Detalle!$C$2:$C$1370,$B38)</f>
        <v>35.8010343687043</v>
      </c>
      <c r="E38" s="8" t="n">
        <f aca="false">SUMIFS(Detalle!$I$2:$I$1370,Detalle!$A$2:$A$1370,"5dc9e0d5-object_0",Detalle!$B$2:$B$1370,$A38,Detalle!$C$2:$C$1370,$B38)</f>
        <v>43.5966411691808</v>
      </c>
      <c r="F38" s="7"/>
      <c r="G38" s="8" t="n">
        <f aca="false">SUMIFS(Detalle!$I$2:$I$1370,Detalle!$A$2:$A$1370,"2b65e967-object_0-1",Detalle!$B$2:$B$1370,$A38,Detalle!$C$2:$C$1370,$B38)</f>
        <v>42.4795277090078</v>
      </c>
      <c r="H38" s="8" t="n">
        <f aca="false">SUMIFS(Detalle!$I$2:$I$1370,Detalle!$A$2:$A$1370,"5ed925a3-object_2",Detalle!$B$2:$B$1370,$A38,Detalle!$C$2:$C$1370,$B38)</f>
        <v>35.4875891840038</v>
      </c>
      <c r="I38" s="8" t="n">
        <f aca="false">SUMIFS(Detalle!$I$2:$I$1370,Detalle!$A$2:$A$1370,"70ef0058-object_0",Detalle!$B$2:$B$1370,$A38,Detalle!$C$2:$C$1370,$B38)</f>
        <v>48.2762261205456</v>
      </c>
      <c r="J38" s="8" t="n">
        <f aca="false">SUMIFS(Detalle!$I$2:$I$1370,Detalle!$A$2:$A$1370,"80c13944-object_3",Detalle!$B$2:$B$1370,$A38,Detalle!$C$2:$C$1370,$B38)</f>
        <v>40.5986406151317</v>
      </c>
      <c r="K38" s="8" t="n">
        <f aca="false">SUMIFS(Detalle!$I$2:$I$1370,Detalle!$A$2:$A$1370,"fba550bc-object_1",Detalle!$B$2:$B$1370,$A38,Detalle!$C$2:$C$1370,$B38)</f>
        <v>33.9342072347026</v>
      </c>
      <c r="L38" s="8" t="n">
        <f aca="false">SUMIFS(Detalle!$I$2:$I$1370,Detalle!$A$2:$A$1370,"38448021-object_5",Detalle!$B$2:$B$1370,$A38,Detalle!$C$2:$C$1370,$B38)</f>
        <v>78.1052221122409</v>
      </c>
      <c r="M38" s="8" t="n">
        <f aca="false">SUMIFS(Detalle!$I$2:$I$1370,Detalle!$A$2:$A$1370,"6e95d62d-object_4",Detalle!$B$2:$B$1370,$A38,Detalle!$C$2:$C$1370,$B38)</f>
        <v>118.14010111571</v>
      </c>
    </row>
    <row r="39" customFormat="false" ht="15" hidden="false" customHeight="false" outlineLevel="0" collapsed="false">
      <c r="A39" s="7" t="s">
        <v>30</v>
      </c>
      <c r="B39" s="7" t="s">
        <v>56</v>
      </c>
      <c r="C39" s="8" t="n">
        <f aca="false">SUMIFS(Detalle!$I$2:$I$1370,Detalle!$A$2:$A$1370,"2a3facb9-object_2",Detalle!$B$2:$B$1370,$A39,Detalle!$C$2:$C$1370,$B39)</f>
        <v>28.7482874384262</v>
      </c>
      <c r="D39" s="8" t="n">
        <f aca="false">SUMIFS(Detalle!$I$2:$I$1370,Detalle!$A$2:$A$1370,"2f639739-object_1",Detalle!$B$2:$B$1370,$A39,Detalle!$C$2:$C$1370,$B39)</f>
        <v>39.5992823565966</v>
      </c>
      <c r="E39" s="8" t="n">
        <f aca="false">SUMIFS(Detalle!$I$2:$I$1370,Detalle!$A$2:$A$1370,"5dc9e0d5-object_0",Detalle!$B$2:$B$1370,$A39,Detalle!$C$2:$C$1370,$B39)</f>
        <v>33.5652322550318</v>
      </c>
      <c r="F39" s="7"/>
      <c r="G39" s="8" t="n">
        <f aca="false">SUMIFS(Detalle!$I$2:$I$1370,Detalle!$A$2:$A$1370,"2b65e967-object_0-1",Detalle!$B$2:$B$1370,$A39,Detalle!$C$2:$C$1370,$B39)</f>
        <v>30.8969720053323</v>
      </c>
      <c r="H39" s="8" t="n">
        <f aca="false">SUMIFS(Detalle!$I$2:$I$1370,Detalle!$A$2:$A$1370,"5ed925a3-object_2",Detalle!$B$2:$B$1370,$A39,Detalle!$C$2:$C$1370,$B39)</f>
        <v>30.8436257169694</v>
      </c>
      <c r="I39" s="8" t="n">
        <f aca="false">SUMIFS(Detalle!$I$2:$I$1370,Detalle!$A$2:$A$1370,"70ef0058-object_0",Detalle!$B$2:$B$1370,$A39,Detalle!$C$2:$C$1370,$B39)</f>
        <v>33.6748091144713</v>
      </c>
      <c r="J39" s="8" t="n">
        <f aca="false">SUMIFS(Detalle!$I$2:$I$1370,Detalle!$A$2:$A$1370,"80c13944-object_3",Detalle!$B$2:$B$1370,$A39,Detalle!$C$2:$C$1370,$B39)</f>
        <v>32.4072941624645</v>
      </c>
      <c r="K39" s="8" t="n">
        <f aca="false">SUMIFS(Detalle!$I$2:$I$1370,Detalle!$A$2:$A$1370,"fba550bc-object_1",Detalle!$B$2:$B$1370,$A39,Detalle!$C$2:$C$1370,$B39)</f>
        <v>39.5266923500275</v>
      </c>
      <c r="L39" s="8" t="n">
        <f aca="false">SUMIFS(Detalle!$I$2:$I$1370,Detalle!$A$2:$A$1370,"38448021-object_5",Detalle!$B$2:$B$1370,$A39,Detalle!$C$2:$C$1370,$B39)</f>
        <v>60.4230280852255</v>
      </c>
      <c r="M39" s="8" t="n">
        <f aca="false">SUMIFS(Detalle!$I$2:$I$1370,Detalle!$A$2:$A$1370,"6e95d62d-object_4",Detalle!$B$2:$B$1370,$A39,Detalle!$C$2:$C$1370,$B39)</f>
        <v>120.18103435929</v>
      </c>
    </row>
    <row r="40" customFormat="false" ht="15" hidden="false" customHeight="false" outlineLevel="0" collapsed="false">
      <c r="A40" s="7" t="s">
        <v>30</v>
      </c>
      <c r="B40" s="7" t="s">
        <v>57</v>
      </c>
      <c r="C40" s="8" t="n">
        <f aca="false">SUMIFS(Detalle!$I$2:$I$1370,Detalle!$A$2:$A$1370,"2a3facb9-object_2",Detalle!$B$2:$B$1370,$A40,Detalle!$C$2:$C$1370,$B40)</f>
        <v>145.452325423303</v>
      </c>
      <c r="D40" s="8" t="n">
        <f aca="false">SUMIFS(Detalle!$I$2:$I$1370,Detalle!$A$2:$A$1370,"2f639739-object_1",Detalle!$B$2:$B$1370,$A40,Detalle!$C$2:$C$1370,$B40)</f>
        <v>132.132182698379</v>
      </c>
      <c r="E40" s="8" t="n">
        <f aca="false">SUMIFS(Detalle!$I$2:$I$1370,Detalle!$A$2:$A$1370,"5dc9e0d5-object_0",Detalle!$B$2:$B$1370,$A40,Detalle!$C$2:$C$1370,$B40)</f>
        <v>148.473783171659</v>
      </c>
      <c r="F40" s="7"/>
      <c r="G40" s="8" t="n">
        <f aca="false">SUMIFS(Detalle!$I$2:$I$1370,Detalle!$A$2:$A$1370,"2b65e967-object_0-1",Detalle!$B$2:$B$1370,$A40,Detalle!$C$2:$C$1370,$B40)</f>
        <v>161.859645781756</v>
      </c>
      <c r="H40" s="8" t="n">
        <f aca="false">SUMIFS(Detalle!$I$2:$I$1370,Detalle!$A$2:$A$1370,"5ed925a3-object_2",Detalle!$B$2:$B$1370,$A40,Detalle!$C$2:$C$1370,$B40)</f>
        <v>136.610558186942</v>
      </c>
      <c r="I40" s="8" t="n">
        <f aca="false">SUMIFS(Detalle!$I$2:$I$1370,Detalle!$A$2:$A$1370,"70ef0058-object_0",Detalle!$B$2:$B$1370,$A40,Detalle!$C$2:$C$1370,$B40)</f>
        <v>179.460817180198</v>
      </c>
      <c r="J40" s="8" t="n">
        <f aca="false">SUMIFS(Detalle!$I$2:$I$1370,Detalle!$A$2:$A$1370,"80c13944-object_3",Detalle!$B$2:$B$1370,$A40,Detalle!$C$2:$C$1370,$B40)</f>
        <v>153.436557026997</v>
      </c>
      <c r="K40" s="8" t="n">
        <f aca="false">SUMIFS(Detalle!$I$2:$I$1370,Detalle!$A$2:$A$1370,"fba550bc-object_1",Detalle!$B$2:$B$1370,$A40,Detalle!$C$2:$C$1370,$B40)</f>
        <v>161.368339420623</v>
      </c>
      <c r="L40" s="8" t="n">
        <f aca="false">SUMIFS(Detalle!$I$2:$I$1370,Detalle!$A$2:$A$1370,"38448021-object_5",Detalle!$B$2:$B$1370,$A40,Detalle!$C$2:$C$1370,$B40)</f>
        <v>271.423957927152</v>
      </c>
      <c r="M40" s="8" t="n">
        <f aca="false">SUMIFS(Detalle!$I$2:$I$1370,Detalle!$A$2:$A$1370,"6e95d62d-object_4",Detalle!$B$2:$B$1370,$A40,Detalle!$C$2:$C$1370,$B40)</f>
        <v>692.696824737543</v>
      </c>
    </row>
    <row r="41" customFormat="false" ht="15" hidden="false" customHeight="false" outlineLevel="0" collapsed="false">
      <c r="A41" s="5" t="s">
        <v>58</v>
      </c>
      <c r="B41" s="5" t="s">
        <v>59</v>
      </c>
      <c r="C41" s="6" t="n">
        <f aca="false">SUMIFS(Detalle!$I$2:$I$1370,Detalle!$A$2:$A$1370,"2a3facb9-object_2",Detalle!$B$2:$B$1370,$A41,Detalle!$C$2:$C$1370,$B41)</f>
        <v>67.7827687545102</v>
      </c>
      <c r="D41" s="6" t="n">
        <f aca="false">SUMIFS(Detalle!$I$2:$I$1370,Detalle!$A$2:$A$1370,"2f639739-object_1",Detalle!$B$2:$B$1370,$A41,Detalle!$C$2:$C$1370,$B41)</f>
        <v>67.6371891631837</v>
      </c>
      <c r="E41" s="6" t="n">
        <f aca="false">SUMIFS(Detalle!$I$2:$I$1370,Detalle!$A$2:$A$1370,"5dc9e0d5-object_0",Detalle!$B$2:$B$1370,$A41,Detalle!$C$2:$C$1370,$B41)</f>
        <v>67.5120721336695</v>
      </c>
      <c r="F41" s="6" t="n">
        <f aca="false">SUMIFS(Detalle!$I$2:$I$1370,Detalle!$A$2:$A$1370,"a501b501-object_3",Detalle!$B$2:$B$1370,$A41,Detalle!$C$2:$C$1370,$B41)</f>
        <v>55.1526484735153</v>
      </c>
      <c r="G41" s="6" t="n">
        <f aca="false">SUMIFS(Detalle!$I$2:$I$1370,Detalle!$A$2:$A$1370,"2b65e967-object_0-1",Detalle!$B$2:$B$1370,$A41,Detalle!$C$2:$C$1370,$B41)</f>
        <v>67.7585221862502</v>
      </c>
      <c r="H41" s="6" t="n">
        <f aca="false">SUMIFS(Detalle!$I$2:$I$1370,Detalle!$A$2:$A$1370,"5ed925a3-object_2",Detalle!$B$2:$B$1370,$A41,Detalle!$C$2:$C$1370,$B41)</f>
        <v>67.6089693626716</v>
      </c>
      <c r="I41" s="6" t="n">
        <f aca="false">SUMIFS(Detalle!$I$2:$I$1370,Detalle!$A$2:$A$1370,"70ef0058-object_0",Detalle!$B$2:$B$1370,$A41,Detalle!$C$2:$C$1370,$B41)</f>
        <v>66.2858129271783</v>
      </c>
      <c r="J41" s="6" t="n">
        <f aca="false">SUMIFS(Detalle!$I$2:$I$1370,Detalle!$A$2:$A$1370,"80c13944-object_3",Detalle!$B$2:$B$1370,$A41,Detalle!$C$2:$C$1370,$B41)</f>
        <v>68.1669356698179</v>
      </c>
      <c r="K41" s="6" t="n">
        <f aca="false">SUMIFS(Detalle!$I$2:$I$1370,Detalle!$A$2:$A$1370,"fba550bc-object_1",Detalle!$B$2:$B$1370,$A41,Detalle!$C$2:$C$1370,$B41)</f>
        <v>68.761995296943</v>
      </c>
      <c r="L41" s="6" t="n">
        <f aca="false">SUMIFS(Detalle!$I$2:$I$1370,Detalle!$A$2:$A$1370,"38448021-object_5",Detalle!$B$2:$B$1370,$A41,Detalle!$C$2:$C$1370,$B41)</f>
        <v>54.5739224331864</v>
      </c>
      <c r="M41" s="6" t="n">
        <f aca="false">SUMIFS(Detalle!$I$2:$I$1370,Detalle!$A$2:$A$1370,"6e95d62d-object_4",Detalle!$B$2:$B$1370,$A41,Detalle!$C$2:$C$1370,$B41)</f>
        <v>49.7933286547027</v>
      </c>
    </row>
    <row r="42" customFormat="false" ht="15" hidden="false" customHeight="false" outlineLevel="0" collapsed="false">
      <c r="A42" s="5" t="s">
        <v>58</v>
      </c>
      <c r="B42" s="5" t="s">
        <v>60</v>
      </c>
      <c r="C42" s="6" t="n">
        <f aca="false">SUMIFS(Detalle!$I$2:$I$1370,Detalle!$A$2:$A$1370,"2a3facb9-object_2",Detalle!$B$2:$B$1370,$A42,Detalle!$C$2:$C$1370,$B42)</f>
        <v>24.8327180313124</v>
      </c>
      <c r="D42" s="6" t="n">
        <f aca="false">SUMIFS(Detalle!$I$2:$I$1370,Detalle!$A$2:$A$1370,"2f639739-object_1",Detalle!$B$2:$B$1370,$A42,Detalle!$C$2:$C$1370,$B42)</f>
        <v>24.6024395866534</v>
      </c>
      <c r="E42" s="6" t="n">
        <f aca="false">SUMIFS(Detalle!$I$2:$I$1370,Detalle!$A$2:$A$1370,"5dc9e0d5-object_0",Detalle!$B$2:$B$1370,$A42,Detalle!$C$2:$C$1370,$B42)</f>
        <v>26.5704457074484</v>
      </c>
      <c r="F42" s="6" t="n">
        <f aca="false">SUMIFS(Detalle!$I$2:$I$1370,Detalle!$A$2:$A$1370,"a501b501-object_3",Detalle!$B$2:$B$1370,$A42,Detalle!$C$2:$C$1370,$B42)</f>
        <v>15.3109968900311</v>
      </c>
      <c r="G42" s="6" t="n">
        <f aca="false">SUMIFS(Detalle!$I$2:$I$1370,Detalle!$A$2:$A$1370,"2b65e967-object_0-1",Detalle!$B$2:$B$1370,$A42,Detalle!$C$2:$C$1370,$B42)</f>
        <v>25.0704627689964</v>
      </c>
      <c r="H42" s="6" t="n">
        <f aca="false">SUMIFS(Detalle!$I$2:$I$1370,Detalle!$A$2:$A$1370,"5ed925a3-object_2",Detalle!$B$2:$B$1370,$A42,Detalle!$C$2:$C$1370,$B42)</f>
        <v>23.1666566740612</v>
      </c>
      <c r="I42" s="6" t="n">
        <f aca="false">SUMIFS(Detalle!$I$2:$I$1370,Detalle!$A$2:$A$1370,"70ef0058-object_0",Detalle!$B$2:$B$1370,$A42,Detalle!$C$2:$C$1370,$B42)</f>
        <v>27.9736112639974</v>
      </c>
      <c r="J42" s="6" t="n">
        <f aca="false">SUMIFS(Detalle!$I$2:$I$1370,Detalle!$A$2:$A$1370,"80c13944-object_3",Detalle!$B$2:$B$1370,$A42,Detalle!$C$2:$C$1370,$B42)</f>
        <v>24.6121342141933</v>
      </c>
      <c r="K42" s="6" t="n">
        <f aca="false">SUMIFS(Detalle!$I$2:$I$1370,Detalle!$A$2:$A$1370,"fba550bc-object_1",Detalle!$B$2:$B$1370,$A42,Detalle!$C$2:$C$1370,$B42)</f>
        <v>23.4127682993946</v>
      </c>
      <c r="L42" s="6" t="n">
        <f aca="false">SUMIFS(Detalle!$I$2:$I$1370,Detalle!$A$2:$A$1370,"38448021-object_5",Detalle!$B$2:$B$1370,$A42,Detalle!$C$2:$C$1370,$B42)</f>
        <v>45.792665246908</v>
      </c>
      <c r="M42" s="6" t="n">
        <f aca="false">SUMIFS(Detalle!$I$2:$I$1370,Detalle!$A$2:$A$1370,"6e95d62d-object_4",Detalle!$B$2:$B$1370,$A42,Detalle!$C$2:$C$1370,$B42)</f>
        <v>63.3532891250483</v>
      </c>
    </row>
    <row r="43" customFormat="false" ht="15" hidden="false" customHeight="false" outlineLevel="0" collapsed="false">
      <c r="A43" s="5" t="s">
        <v>58</v>
      </c>
      <c r="B43" s="5" t="s">
        <v>61</v>
      </c>
      <c r="C43" s="6" t="n">
        <f aca="false">SUMIFS(Detalle!$I$2:$I$1370,Detalle!$A$2:$A$1370,"2a3facb9-object_2",Detalle!$B$2:$B$1370,$A43,Detalle!$C$2:$C$1370,$B43)</f>
        <v>68.452419548825</v>
      </c>
      <c r="D43" s="6" t="n">
        <f aca="false">SUMIFS(Detalle!$I$2:$I$1370,Detalle!$A$2:$A$1370,"2f639739-object_1",Detalle!$B$2:$B$1370,$A43,Detalle!$C$2:$C$1370,$B43)</f>
        <v>66.2251054915757</v>
      </c>
      <c r="E43" s="6" t="n">
        <f aca="false">SUMIFS(Detalle!$I$2:$I$1370,Detalle!$A$2:$A$1370,"5dc9e0d5-object_0",Detalle!$B$2:$B$1370,$A43,Detalle!$C$2:$C$1370,$B43)</f>
        <v>67.586160847827</v>
      </c>
      <c r="F43" s="6" t="n">
        <f aca="false">SUMIFS(Detalle!$I$2:$I$1370,Detalle!$A$2:$A$1370,"a501b501-object_3",Detalle!$B$2:$B$1370,$A43,Detalle!$C$2:$C$1370,$B43)</f>
        <v>56.4075859241408</v>
      </c>
      <c r="G43" s="6" t="n">
        <f aca="false">SUMIFS(Detalle!$I$2:$I$1370,Detalle!$A$2:$A$1370,"2b65e967-object_0-1",Detalle!$B$2:$B$1370,$A43,Detalle!$C$2:$C$1370,$B43)</f>
        <v>67.3738335555132</v>
      </c>
      <c r="H43" s="6" t="n">
        <f aca="false">SUMIFS(Detalle!$I$2:$I$1370,Detalle!$A$2:$A$1370,"5ed925a3-object_2",Detalle!$B$2:$B$1370,$A43,Detalle!$C$2:$C$1370,$B43)</f>
        <v>67.4437915942203</v>
      </c>
      <c r="I43" s="6" t="n">
        <f aca="false">SUMIFS(Detalle!$I$2:$I$1370,Detalle!$A$2:$A$1370,"70ef0058-object_0",Detalle!$B$2:$B$1370,$A43,Detalle!$C$2:$C$1370,$B43)</f>
        <v>66.3124318265969</v>
      </c>
      <c r="J43" s="6" t="n">
        <f aca="false">SUMIFS(Detalle!$I$2:$I$1370,Detalle!$A$2:$A$1370,"80c13944-object_3",Detalle!$B$2:$B$1370,$A43,Detalle!$C$2:$C$1370,$B43)</f>
        <v>68.929785165061</v>
      </c>
      <c r="K43" s="6" t="n">
        <f aca="false">SUMIFS(Detalle!$I$2:$I$1370,Detalle!$A$2:$A$1370,"fba550bc-object_1",Detalle!$B$2:$B$1370,$A43,Detalle!$C$2:$C$1370,$B43)</f>
        <v>68.7657977685496</v>
      </c>
      <c r="L43" s="6" t="n">
        <f aca="false">SUMIFS(Detalle!$I$2:$I$1370,Detalle!$A$2:$A$1370,"38448021-object_5",Detalle!$B$2:$B$1370,$A43,Detalle!$C$2:$C$1370,$B43)</f>
        <v>53.7789075857104</v>
      </c>
      <c r="M43" s="6" t="n">
        <f aca="false">SUMIFS(Detalle!$I$2:$I$1370,Detalle!$A$2:$A$1370,"6e95d62d-object_4",Detalle!$B$2:$B$1370,$A43,Detalle!$C$2:$C$1370,$B43)</f>
        <v>47.4258460921499</v>
      </c>
    </row>
    <row r="44" customFormat="false" ht="15" hidden="false" customHeight="false" outlineLevel="0" collapsed="false">
      <c r="A44" s="5" t="s">
        <v>58</v>
      </c>
      <c r="B44" s="5" t="s">
        <v>62</v>
      </c>
      <c r="C44" s="6" t="n">
        <f aca="false">SUMIFS(Detalle!$I$2:$I$1370,Detalle!$A$2:$A$1370,"2a3facb9-object_2",Detalle!$B$2:$B$1370,$A44,Detalle!$C$2:$C$1370,$B44)</f>
        <v>24.2962025581225</v>
      </c>
      <c r="D44" s="6" t="n">
        <f aca="false">SUMIFS(Detalle!$I$2:$I$1370,Detalle!$A$2:$A$1370,"2f639739-object_1",Detalle!$B$2:$B$1370,$A44,Detalle!$C$2:$C$1370,$B44)</f>
        <v>21.7297110382777</v>
      </c>
      <c r="E44" s="6" t="n">
        <f aca="false">SUMIFS(Detalle!$I$2:$I$1370,Detalle!$A$2:$A$1370,"5dc9e0d5-object_0",Detalle!$B$2:$B$1370,$A44,Detalle!$C$2:$C$1370,$B44)</f>
        <v>24.7841972565275</v>
      </c>
      <c r="F44" s="6" t="n">
        <f aca="false">SUMIFS(Detalle!$I$2:$I$1370,Detalle!$A$2:$A$1370,"a501b501-object_3",Detalle!$B$2:$B$1370,$A44,Detalle!$C$2:$C$1370,$B44)</f>
        <v>15.9940400595994</v>
      </c>
      <c r="G44" s="6" t="n">
        <f aca="false">SUMIFS(Detalle!$I$2:$I$1370,Detalle!$A$2:$A$1370,"2b65e967-object_0-1",Detalle!$B$2:$B$1370,$A44,Detalle!$C$2:$C$1370,$B44)</f>
        <v>25.0704627689964</v>
      </c>
      <c r="H44" s="6" t="n">
        <f aca="false">SUMIFS(Detalle!$I$2:$I$1370,Detalle!$A$2:$A$1370,"5ed925a3-object_2",Detalle!$B$2:$B$1370,$A44,Detalle!$C$2:$C$1370,$B44)</f>
        <v>23.0366029138438</v>
      </c>
      <c r="I44" s="6" t="n">
        <f aca="false">SUMIFS(Detalle!$I$2:$I$1370,Detalle!$A$2:$A$1370,"70ef0058-object_0",Detalle!$B$2:$B$1370,$A44,Detalle!$C$2:$C$1370,$B44)</f>
        <v>29.034564540824</v>
      </c>
      <c r="J44" s="6" t="n">
        <f aca="false">SUMIFS(Detalle!$I$2:$I$1370,Detalle!$A$2:$A$1370,"80c13944-object_3",Detalle!$B$2:$B$1370,$A44,Detalle!$C$2:$C$1370,$B44)</f>
        <v>24.6121342141933</v>
      </c>
      <c r="K44" s="6" t="n">
        <f aca="false">SUMIFS(Detalle!$I$2:$I$1370,Detalle!$A$2:$A$1370,"fba550bc-object_1",Detalle!$B$2:$B$1370,$A44,Detalle!$C$2:$C$1370,$B44)</f>
        <v>23.4127682993946</v>
      </c>
      <c r="L44" s="6" t="n">
        <f aca="false">SUMIFS(Detalle!$I$2:$I$1370,Detalle!$A$2:$A$1370,"38448021-object_5",Detalle!$B$2:$B$1370,$A44,Detalle!$C$2:$C$1370,$B44)</f>
        <v>43.0267354549727</v>
      </c>
      <c r="M44" s="6" t="n">
        <f aca="false">SUMIFS(Detalle!$I$2:$I$1370,Detalle!$A$2:$A$1370,"6e95d62d-object_4",Detalle!$B$2:$B$1370,$A44,Detalle!$C$2:$C$1370,$B44)</f>
        <v>63.8308675040461</v>
      </c>
    </row>
    <row r="45" customFormat="false" ht="15" hidden="false" customHeight="false" outlineLevel="0" collapsed="false">
      <c r="A45" s="7" t="s">
        <v>63</v>
      </c>
      <c r="B45" s="7" t="s">
        <v>64</v>
      </c>
      <c r="C45" s="8" t="n">
        <f aca="false">SUMIFS(Detalle!$I$2:$I$1370,Detalle!$A$2:$A$1370,"2a3facb9-object_2",Detalle!$B$2:$B$1370,$A45,Detalle!$C$2:$C$1370,$B45)</f>
        <v>53.1458318081513</v>
      </c>
      <c r="D45" s="8" t="n">
        <f aca="false">SUMIFS(Detalle!$I$2:$I$1370,Detalle!$A$2:$A$1370,"2f639739-object_1",Detalle!$B$2:$B$1370,$A45,Detalle!$C$2:$C$1370,$B45)</f>
        <v>50.4465225366088</v>
      </c>
      <c r="E45" s="8" t="n">
        <f aca="false">SUMIFS(Detalle!$I$2:$I$1370,Detalle!$A$2:$A$1370,"5dc9e0d5-object_0",Detalle!$B$2:$B$1370,$A45,Detalle!$C$2:$C$1370,$B45)</f>
        <v>51.8681893936157</v>
      </c>
      <c r="F45" s="8" t="n">
        <f aca="false">SUMIFS(Detalle!$I$2:$I$1370,Detalle!$A$2:$A$1370,"a501b501-object_3",Detalle!$B$2:$B$1370,$A45,Detalle!$C$2:$C$1370,$B45)</f>
        <v>38.440415595844</v>
      </c>
      <c r="G45" s="8" t="n">
        <f aca="false">SUMIFS(Detalle!$I$2:$I$1370,Detalle!$A$2:$A$1370,"2b65e967-object_0-1",Detalle!$B$2:$B$1370,$A45,Detalle!$C$2:$C$1370,$B45)</f>
        <v>53.7354789563893</v>
      </c>
      <c r="H45" s="8" t="n">
        <f aca="false">SUMIFS(Detalle!$I$2:$I$1370,Detalle!$A$2:$A$1370,"5ed925a3-object_2",Detalle!$B$2:$B$1370,$A45,Detalle!$C$2:$C$1370,$B45)</f>
        <v>52.2303495413394</v>
      </c>
      <c r="I45" s="8" t="n">
        <f aca="false">SUMIFS(Detalle!$I$2:$I$1370,Detalle!$A$2:$A$1370,"70ef0058-object_0",Detalle!$B$2:$B$1370,$A45,Detalle!$C$2:$C$1370,$B45)</f>
        <v>48.7097339110769</v>
      </c>
      <c r="J45" s="8" t="n">
        <f aca="false">SUMIFS(Detalle!$I$2:$I$1370,Detalle!$A$2:$A$1370,"80c13944-object_3",Detalle!$B$2:$B$1370,$A45,Detalle!$C$2:$C$1370,$B45)</f>
        <v>53.5727962626941</v>
      </c>
      <c r="K45" s="8" t="n">
        <f aca="false">SUMIFS(Detalle!$I$2:$I$1370,Detalle!$A$2:$A$1370,"fba550bc-object_1",Detalle!$B$2:$B$1370,$A45,Detalle!$C$2:$C$1370,$B45)</f>
        <v>53.5958372942413</v>
      </c>
      <c r="L45" s="8" t="n">
        <f aca="false">SUMIFS(Detalle!$I$2:$I$1370,Detalle!$A$2:$A$1370,"38448021-object_5",Detalle!$B$2:$B$1370,$A45,Detalle!$C$2:$C$1370,$B45)</f>
        <v>30.6797844366458</v>
      </c>
      <c r="M45" s="7"/>
    </row>
    <row r="46" customFormat="false" ht="15" hidden="false" customHeight="false" outlineLevel="0" collapsed="false">
      <c r="A46" s="7" t="s">
        <v>63</v>
      </c>
      <c r="B46" s="7" t="s">
        <v>65</v>
      </c>
      <c r="C46" s="8" t="n">
        <f aca="false">SUMIFS(Detalle!$I$2:$I$1370,Detalle!$A$2:$A$1370,"2a3facb9-object_2",Detalle!$B$2:$B$1370,$A46,Detalle!$C$2:$C$1370,$B46)</f>
        <v>27.5500695483021</v>
      </c>
      <c r="D46" s="8" t="n">
        <f aca="false">SUMIFS(Detalle!$I$2:$I$1370,Detalle!$A$2:$A$1370,"2f639739-object_1",Detalle!$B$2:$B$1370,$A46,Detalle!$C$2:$C$1370,$B46)</f>
        <v>26.6001142616592</v>
      </c>
      <c r="E46" s="7"/>
      <c r="F46" s="8" t="n">
        <f aca="false">SUMIFS(Detalle!$I$2:$I$1370,Detalle!$A$2:$A$1370,"a501b501-object_3",Detalle!$B$2:$B$1370,$A46,Detalle!$C$2:$C$1370,$B46)</f>
        <v>19.949800501995</v>
      </c>
      <c r="G46" s="8" t="n">
        <f aca="false">SUMIFS(Detalle!$I$2:$I$1370,Detalle!$A$2:$A$1370,"2b65e967-object_0-1",Detalle!$B$2:$B$1370,$A46,Detalle!$C$2:$C$1370,$B46)</f>
        <v>29.4496286421634</v>
      </c>
      <c r="H46" s="8" t="n">
        <f aca="false">SUMIFS(Detalle!$I$2:$I$1370,Detalle!$A$2:$A$1370,"5ed925a3-object_2",Detalle!$B$2:$B$1370,$A46,Detalle!$C$2:$C$1370,$B46)</f>
        <v>30.4003037752064</v>
      </c>
      <c r="I46" s="8" t="n">
        <f aca="false">SUMIFS(Detalle!$I$2:$I$1370,Detalle!$A$2:$A$1370,"70ef0058-object_0",Detalle!$B$2:$B$1370,$A46,Detalle!$C$2:$C$1370,$B46)</f>
        <v>27.5496102232585</v>
      </c>
      <c r="J46" s="8" t="n">
        <f aca="false">SUMIFS(Detalle!$I$2:$I$1370,Detalle!$A$2:$A$1370,"80c13944-object_3",Detalle!$B$2:$B$1370,$A46,Detalle!$C$2:$C$1370,$B46)</f>
        <v>30.3996952411505</v>
      </c>
      <c r="K46" s="8" t="n">
        <f aca="false">SUMIFS(Detalle!$I$2:$I$1370,Detalle!$A$2:$A$1370,"fba550bc-object_1",Detalle!$B$2:$B$1370,$A46,Detalle!$C$2:$C$1370,$B46)</f>
        <v>27.5498574073148</v>
      </c>
      <c r="L46" s="7"/>
      <c r="M46" s="7"/>
    </row>
    <row r="47" customFormat="false" ht="15" hidden="false" customHeight="false" outlineLevel="0" collapsed="false">
      <c r="A47" s="7" t="s">
        <v>63</v>
      </c>
      <c r="B47" s="7" t="s">
        <v>66</v>
      </c>
      <c r="C47" s="8" t="n">
        <f aca="false">SUMIFS(Detalle!$I$2:$I$1370,Detalle!$A$2:$A$1370,"2a3facb9-object_2",Detalle!$B$2:$B$1370,$A47,Detalle!$C$2:$C$1370,$B47)</f>
        <v>25.5957622598492</v>
      </c>
      <c r="D47" s="8" t="n">
        <f aca="false">SUMIFS(Detalle!$I$2:$I$1370,Detalle!$A$2:$A$1370,"2f639739-object_1",Detalle!$B$2:$B$1370,$A47,Detalle!$C$2:$C$1370,$B47)</f>
        <v>23.8464082749496</v>
      </c>
      <c r="E47" s="7"/>
      <c r="F47" s="8" t="n">
        <f aca="false">SUMIFS(Detalle!$I$2:$I$1370,Detalle!$A$2:$A$1370,"a501b501-object_3",Detalle!$B$2:$B$1370,$A47,Detalle!$C$2:$C$1370,$B47)</f>
        <v>18.4906150938491</v>
      </c>
      <c r="G47" s="8" t="n">
        <f aca="false">SUMIFS(Detalle!$I$2:$I$1370,Detalle!$A$2:$A$1370,"2b65e967-object_0-1",Detalle!$B$2:$B$1370,$A47,Detalle!$C$2:$C$1370,$B47)</f>
        <v>24.2858503142259</v>
      </c>
      <c r="H47" s="8" t="n">
        <f aca="false">SUMIFS(Detalle!$I$2:$I$1370,Detalle!$A$2:$A$1370,"5ed925a3-object_2",Detalle!$B$2:$B$1370,$A47,Detalle!$C$2:$C$1370,$B47)</f>
        <v>21.8309950636529</v>
      </c>
      <c r="I47" s="8" t="n">
        <f aca="false">SUMIFS(Detalle!$I$2:$I$1370,Detalle!$A$2:$A$1370,"70ef0058-object_0",Detalle!$B$2:$B$1370,$A47,Detalle!$C$2:$C$1370,$B47)</f>
        <v>21.1601236878184</v>
      </c>
      <c r="J47" s="8" t="n">
        <f aca="false">SUMIFS(Detalle!$I$2:$I$1370,Detalle!$A$2:$A$1370,"80c13944-object_3",Detalle!$B$2:$B$1370,$A47,Detalle!$C$2:$C$1370,$B47)</f>
        <v>23.1731010215436</v>
      </c>
      <c r="K47" s="8" t="n">
        <f aca="false">SUMIFS(Detalle!$I$2:$I$1370,Detalle!$A$2:$A$1370,"fba550bc-object_1",Detalle!$B$2:$B$1370,$A47,Detalle!$C$2:$C$1370,$B47)</f>
        <v>26.0459798869265</v>
      </c>
      <c r="L47" s="7"/>
      <c r="M47" s="7"/>
    </row>
    <row r="48" customFormat="false" ht="15" hidden="false" customHeight="false" outlineLevel="0" collapsed="false">
      <c r="A48" s="7" t="s">
        <v>63</v>
      </c>
      <c r="B48" s="7" t="s">
        <v>67</v>
      </c>
      <c r="C48" s="8" t="n">
        <f aca="false">SUMIFS(Detalle!$I$2:$I$1370,Detalle!$A$2:$A$1370,"2a3facb9-object_2",Detalle!$B$2:$B$1370,$A48,Detalle!$C$2:$C$1370,$B48)</f>
        <v>28.4482361923089</v>
      </c>
      <c r="D48" s="8" t="n">
        <f aca="false">SUMIFS(Detalle!$I$2:$I$1370,Detalle!$A$2:$A$1370,"2f639739-object_1",Detalle!$B$2:$B$1370,$A48,Detalle!$C$2:$C$1370,$B48)</f>
        <v>22.6761784486474</v>
      </c>
      <c r="E48" s="8" t="n">
        <f aca="false">SUMIFS(Detalle!$I$2:$I$1370,Detalle!$A$2:$A$1370,"5dc9e0d5-object_0",Detalle!$B$2:$B$1370,$A48,Detalle!$C$2:$C$1370,$B48)</f>
        <v>26.7460258108628</v>
      </c>
      <c r="F48" s="8" t="n">
        <f aca="false">SUMIFS(Detalle!$I$2:$I$1370,Detalle!$A$2:$A$1370,"a501b501-object_3",Detalle!$B$2:$B$1370,$A48,Detalle!$C$2:$C$1370,$B48)</f>
        <v>17.5111748882511</v>
      </c>
      <c r="G48" s="8" t="n">
        <f aca="false">SUMIFS(Detalle!$I$2:$I$1370,Detalle!$A$2:$A$1370,"2b65e967-object_0-1",Detalle!$B$2:$B$1370,$A48,Detalle!$C$2:$C$1370,$B48)</f>
        <v>27.5804608645972</v>
      </c>
      <c r="H48" s="8" t="n">
        <f aca="false">SUMIFS(Detalle!$I$2:$I$1370,Detalle!$A$2:$A$1370,"5ed925a3-object_2",Detalle!$B$2:$B$1370,$A48,Detalle!$C$2:$C$1370,$B48)</f>
        <v>24.4320702680017</v>
      </c>
      <c r="I48" s="8" t="n">
        <f aca="false">SUMIFS(Detalle!$I$2:$I$1370,Detalle!$A$2:$A$1370,"70ef0058-object_0",Detalle!$B$2:$B$1370,$A48,Detalle!$C$2:$C$1370,$B48)</f>
        <v>26.6768905923206</v>
      </c>
      <c r="J48" s="8" t="n">
        <f aca="false">SUMIFS(Detalle!$I$2:$I$1370,Detalle!$A$2:$A$1370,"80c13944-object_3",Detalle!$B$2:$B$1370,$A48,Detalle!$C$2:$C$1370,$B48)</f>
        <v>22.7254864612886</v>
      </c>
      <c r="K48" s="8" t="n">
        <f aca="false">SUMIFS(Detalle!$I$2:$I$1370,Detalle!$A$2:$A$1370,"fba550bc-object_1",Detalle!$B$2:$B$1370,$A48,Detalle!$C$2:$C$1370,$B48)</f>
        <v>25.4005103317156</v>
      </c>
      <c r="L48" s="8" t="n">
        <f aca="false">SUMIFS(Detalle!$I$2:$I$1370,Detalle!$A$2:$A$1370,"38448021-object_5",Detalle!$B$2:$B$1370,$A48,Detalle!$C$2:$C$1370,$B48)</f>
        <v>31.4510533209354</v>
      </c>
      <c r="M48" s="7"/>
    </row>
    <row r="49" customFormat="false" ht="15" hidden="false" customHeight="false" outlineLevel="0" collapsed="false">
      <c r="A49" s="7" t="s">
        <v>63</v>
      </c>
      <c r="B49" s="7" t="s">
        <v>68</v>
      </c>
      <c r="C49" s="8" t="n">
        <f aca="false">SUMIFS(Detalle!$I$2:$I$1370,Detalle!$A$2:$A$1370,"2a3facb9-object_2",Detalle!$B$2:$B$1370,$A49,Detalle!$C$2:$C$1370,$B49)</f>
        <v>24.5406151625757</v>
      </c>
      <c r="D49" s="8" t="n">
        <f aca="false">SUMIFS(Detalle!$I$2:$I$1370,Detalle!$A$2:$A$1370,"2f639739-object_1",Detalle!$B$2:$B$1370,$A49,Detalle!$C$2:$C$1370,$B49)</f>
        <v>19.6387226749256</v>
      </c>
      <c r="E49" s="8" t="n">
        <f aca="false">SUMIFS(Detalle!$I$2:$I$1370,Detalle!$A$2:$A$1370,"5dc9e0d5-object_0",Detalle!$B$2:$B$1370,$A49,Detalle!$C$2:$C$1370,$B49)</f>
        <v>21.9982586214264</v>
      </c>
      <c r="F49" s="8" t="n">
        <f aca="false">SUMIFS(Detalle!$I$2:$I$1370,Detalle!$A$2:$A$1370,"a501b501-object_3",Detalle!$B$2:$B$1370,$A49,Detalle!$C$2:$C$1370,$B49)</f>
        <v>15.7337426625734</v>
      </c>
      <c r="G49" s="8" t="n">
        <f aca="false">SUMIFS(Detalle!$I$2:$I$1370,Detalle!$A$2:$A$1370,"2b65e967-object_0-1",Detalle!$B$2:$B$1370,$A49,Detalle!$C$2:$C$1370,$B49)</f>
        <v>18.993525042849</v>
      </c>
      <c r="H49" s="8" t="n">
        <f aca="false">SUMIFS(Detalle!$I$2:$I$1370,Detalle!$A$2:$A$1370,"5ed925a3-object_2",Detalle!$B$2:$B$1370,$A49,Detalle!$C$2:$C$1370,$B49)</f>
        <v>16.3383596138857</v>
      </c>
      <c r="I49" s="8" t="n">
        <f aca="false">SUMIFS(Detalle!$I$2:$I$1370,Detalle!$A$2:$A$1370,"70ef0058-object_0",Detalle!$B$2:$B$1370,$A49,Detalle!$C$2:$C$1370,$B49)</f>
        <v>20.2246595082509</v>
      </c>
      <c r="J49" s="8" t="n">
        <f aca="false">SUMIFS(Detalle!$I$2:$I$1370,Detalle!$A$2:$A$1370,"80c13944-object_3",Detalle!$B$2:$B$1370,$A49,Detalle!$C$2:$C$1370,$B49)</f>
        <v>20.7645537388096</v>
      </c>
      <c r="K49" s="8" t="n">
        <f aca="false">SUMIFS(Detalle!$I$2:$I$1370,Detalle!$A$2:$A$1370,"fba550bc-object_1",Detalle!$B$2:$B$1370,$A49,Detalle!$C$2:$C$1370,$B49)</f>
        <v>20.065642667734</v>
      </c>
      <c r="L49" s="8" t="n">
        <f aca="false">SUMIFS(Detalle!$I$2:$I$1370,Detalle!$A$2:$A$1370,"38448021-object_5",Detalle!$B$2:$B$1370,$A49,Detalle!$C$2:$C$1370,$B49)</f>
        <v>19.8440265154924</v>
      </c>
      <c r="M49" s="7"/>
    </row>
    <row r="50" customFormat="false" ht="15" hidden="false" customHeight="false" outlineLevel="0" collapsed="false">
      <c r="A50" s="5" t="s">
        <v>69</v>
      </c>
      <c r="B50" s="5" t="s">
        <v>70</v>
      </c>
      <c r="C50" s="6" t="n">
        <f aca="false">SUMIFS(Detalle!$I$2:$I$1370,Detalle!$A$2:$A$1370,"2a3facb9-object_2",Detalle!$B$2:$B$1370,$A50,Detalle!$C$2:$C$1370,$B50)</f>
        <v>33.1934174885219</v>
      </c>
      <c r="D50" s="6" t="n">
        <f aca="false">SUMIFS(Detalle!$I$2:$I$1370,Detalle!$A$2:$A$1370,"2f639739-object_1",Detalle!$B$2:$B$1370,$A50,Detalle!$C$2:$C$1370,$B50)</f>
        <v>29.4680819075683</v>
      </c>
      <c r="E50" s="6" t="n">
        <f aca="false">SUMIFS(Detalle!$I$2:$I$1370,Detalle!$A$2:$A$1370,"5dc9e0d5-object_0",Detalle!$B$2:$B$1370,$A50,Detalle!$C$2:$C$1370,$B50)</f>
        <v>31.7536109567967</v>
      </c>
      <c r="F50" s="6" t="n">
        <f aca="false">SUMIFS(Detalle!$I$2:$I$1370,Detalle!$A$2:$A$1370,"a501b501-object_3",Detalle!$B$2:$B$1370,$A50,Detalle!$C$2:$C$1370,$B50)</f>
        <v>24.0841591584084</v>
      </c>
      <c r="G50" s="6" t="n">
        <f aca="false">SUMIFS(Detalle!$I$2:$I$1370,Detalle!$A$2:$A$1370,"2b65e967-object_0-1",Detalle!$B$2:$B$1370,$A50,Detalle!$C$2:$C$1370,$B50)</f>
        <v>32.545229480099</v>
      </c>
      <c r="H50" s="6" t="n">
        <f aca="false">SUMIFS(Detalle!$I$2:$I$1370,Detalle!$A$2:$A$1370,"5ed925a3-object_2",Detalle!$B$2:$B$1370,$A50,Detalle!$C$2:$C$1370,$B50)</f>
        <v>31.5631932370046</v>
      </c>
      <c r="I50" s="6" t="n">
        <f aca="false">SUMIFS(Detalle!$I$2:$I$1370,Detalle!$A$2:$A$1370,"70ef0058-object_0",Detalle!$B$2:$B$1370,$A50,Detalle!$C$2:$C$1370,$B50)</f>
        <v>30.8760219756027</v>
      </c>
      <c r="J50" s="6" t="n">
        <f aca="false">SUMIFS(Detalle!$I$2:$I$1370,Detalle!$A$2:$A$1370,"80c13944-object_3",Detalle!$B$2:$B$1370,$A50,Detalle!$C$2:$C$1370,$B50)</f>
        <v>31.8406331766098</v>
      </c>
      <c r="K50" s="6" t="n">
        <f aca="false">SUMIFS(Detalle!$I$2:$I$1370,Detalle!$A$2:$A$1370,"fba550bc-object_1",Detalle!$B$2:$B$1370,$A50,Detalle!$C$2:$C$1370,$B50)</f>
        <v>38.5456546755391</v>
      </c>
      <c r="L50" s="6" t="n">
        <f aca="false">SUMIFS(Detalle!$I$2:$I$1370,Detalle!$A$2:$A$1370,"38448021-object_5",Detalle!$B$2:$B$1370,$A50,Detalle!$C$2:$C$1370,$B50)</f>
        <v>29.8524750792365</v>
      </c>
      <c r="M50" s="5"/>
    </row>
    <row r="51" customFormat="false" ht="15" hidden="false" customHeight="false" outlineLevel="0" collapsed="false">
      <c r="A51" s="5" t="s">
        <v>69</v>
      </c>
      <c r="B51" s="5" t="s">
        <v>71</v>
      </c>
      <c r="C51" s="6" t="n">
        <f aca="false">SUMIFS(Detalle!$I$2:$I$1370,Detalle!$A$2:$A$1370,"2a3facb9-object_2",Detalle!$B$2:$B$1370,$A51,Detalle!$C$2:$C$1370,$B51)</f>
        <v>7.21712666157692</v>
      </c>
      <c r="D51" s="6" t="n">
        <f aca="false">SUMIFS(Detalle!$I$2:$I$1370,Detalle!$A$2:$A$1370,"2f639739-object_1",Detalle!$B$2:$B$1370,$A51,Detalle!$C$2:$C$1370,$B51)</f>
        <v>6.61860660913492</v>
      </c>
      <c r="E51" s="6" t="n">
        <f aca="false">SUMIFS(Detalle!$I$2:$I$1370,Detalle!$A$2:$A$1370,"5dc9e0d5-object_0",Detalle!$B$2:$B$1370,$A51,Detalle!$C$2:$C$1370,$B51)</f>
        <v>7.18762018717149</v>
      </c>
      <c r="F51" s="6" t="n">
        <f aca="false">SUMIFS(Detalle!$I$2:$I$1370,Detalle!$A$2:$A$1370,"a501b501-object_3",Detalle!$B$2:$B$1370,$A51,Detalle!$C$2:$C$1370,$B51)</f>
        <v>4.27970720292797</v>
      </c>
      <c r="G51" s="6" t="n">
        <f aca="false">SUMIFS(Detalle!$I$2:$I$1370,Detalle!$A$2:$A$1370,"2b65e967-object_0-1",Detalle!$B$2:$B$1370,$A51,Detalle!$C$2:$C$1370,$B51)</f>
        <v>7.42525233288897</v>
      </c>
      <c r="H51" s="6" t="n">
        <f aca="false">SUMIFS(Detalle!$I$2:$I$1370,Detalle!$A$2:$A$1370,"5ed925a3-object_2",Detalle!$B$2:$B$1370,$A51,Detalle!$C$2:$C$1370,$B51)</f>
        <v>7.3371205308072</v>
      </c>
      <c r="I51" s="6" t="n">
        <f aca="false">SUMIFS(Detalle!$I$2:$I$1370,Detalle!$A$2:$A$1370,"70ef0058-object_0",Detalle!$B$2:$B$1370,$A51,Detalle!$C$2:$C$1370,$B51)</f>
        <v>6.16892994025758</v>
      </c>
      <c r="J51" s="6" t="n">
        <f aca="false">SUMIFS(Detalle!$I$2:$I$1370,Detalle!$A$2:$A$1370,"80c13944-object_3",Detalle!$B$2:$B$1370,$A51,Detalle!$C$2:$C$1370,$B51)</f>
        <v>6.57898166434422</v>
      </c>
      <c r="K51" s="6" t="n">
        <f aca="false">SUMIFS(Detalle!$I$2:$I$1370,Detalle!$A$2:$A$1370,"fba550bc-object_1",Detalle!$B$2:$B$1370,$A51,Detalle!$C$2:$C$1370,$B51)</f>
        <v>7.34447390804023</v>
      </c>
      <c r="L51" s="6" t="n">
        <f aca="false">SUMIFS(Detalle!$I$2:$I$1370,Detalle!$A$2:$A$1370,"38448021-object_5",Detalle!$B$2:$B$1370,$A51,Detalle!$C$2:$C$1370,$B51)</f>
        <v>19.5942189827729</v>
      </c>
      <c r="M51" s="5"/>
    </row>
    <row r="52" customFormat="false" ht="15" hidden="false" customHeight="false" outlineLevel="0" collapsed="false">
      <c r="A52" s="5" t="s">
        <v>69</v>
      </c>
      <c r="B52" s="5" t="s">
        <v>72</v>
      </c>
      <c r="C52" s="6" t="n">
        <f aca="false">SUMIFS(Detalle!$I$2:$I$1370,Detalle!$A$2:$A$1370,"2a3facb9-object_2",Detalle!$B$2:$B$1370,$A52,Detalle!$C$2:$C$1370,$B52)</f>
        <v>25.9752972797724</v>
      </c>
      <c r="D52" s="6" t="n">
        <f aca="false">SUMIFS(Detalle!$I$2:$I$1370,Detalle!$A$2:$A$1370,"2f639739-object_1",Detalle!$B$2:$B$1370,$A52,Detalle!$C$2:$C$1370,$B52)</f>
        <v>22.8504274789267</v>
      </c>
      <c r="E52" s="6" t="n">
        <f aca="false">SUMIFS(Detalle!$I$2:$I$1370,Detalle!$A$2:$A$1370,"5dc9e0d5-object_0",Detalle!$B$2:$B$1370,$A52,Detalle!$C$2:$C$1370,$B52)</f>
        <v>24.5659907696252</v>
      </c>
      <c r="F52" s="6" t="n">
        <f aca="false">SUMIFS(Detalle!$I$2:$I$1370,Detalle!$A$2:$A$1370,"a501b501-object_3",Detalle!$B$2:$B$1370,$A52,Detalle!$C$2:$C$1370,$B52)</f>
        <v>19.8044519554804</v>
      </c>
      <c r="G52" s="6" t="n">
        <f aca="false">SUMIFS(Detalle!$I$2:$I$1370,Detalle!$A$2:$A$1370,"2b65e967-object_0-1",Detalle!$B$2:$B$1370,$A52,Detalle!$C$2:$C$1370,$B52)</f>
        <v>25.1199771472101</v>
      </c>
      <c r="H52" s="6" t="n">
        <f aca="false">SUMIFS(Detalle!$I$2:$I$1370,Detalle!$A$2:$A$1370,"5ed925a3-object_2",Detalle!$B$2:$B$1370,$A52,Detalle!$C$2:$C$1370,$B52)</f>
        <v>24.2260727061974</v>
      </c>
      <c r="I52" s="6" t="n">
        <f aca="false">SUMIFS(Detalle!$I$2:$I$1370,Detalle!$A$2:$A$1370,"70ef0058-object_0",Detalle!$B$2:$B$1370,$A52,Detalle!$C$2:$C$1370,$B52)</f>
        <v>24.7070920353451</v>
      </c>
      <c r="J52" s="6" t="n">
        <f aca="false">SUMIFS(Detalle!$I$2:$I$1370,Detalle!$A$2:$A$1370,"80c13944-object_3",Detalle!$B$2:$B$1370,$A52,Detalle!$C$2:$C$1370,$B52)</f>
        <v>25.2616515122655</v>
      </c>
      <c r="K52" s="6" t="n">
        <f aca="false">SUMIFS(Detalle!$I$2:$I$1370,Detalle!$A$2:$A$1370,"fba550bc-object_1",Detalle!$B$2:$B$1370,$A52,Detalle!$C$2:$C$1370,$B52)</f>
        <v>31.2011807674989</v>
      </c>
      <c r="L52" s="6" t="n">
        <f aca="false">SUMIFS(Detalle!$I$2:$I$1370,Detalle!$A$2:$A$1370,"38448021-object_5",Detalle!$B$2:$B$1370,$A52,Detalle!$C$2:$C$1370,$B52)</f>
        <v>10.2582560964636</v>
      </c>
      <c r="M52" s="5"/>
    </row>
    <row r="53" customFormat="false" ht="15" hidden="false" customHeight="false" outlineLevel="0" collapsed="false">
      <c r="A53" s="5" t="s">
        <v>69</v>
      </c>
      <c r="B53" s="5" t="s">
        <v>73</v>
      </c>
      <c r="C53" s="6" t="n">
        <f aca="false">SUMIFS(Detalle!$I$2:$I$1370,Detalle!$A$2:$A$1370,"2a3facb9-object_2",Detalle!$B$2:$B$1370,$A53,Detalle!$C$2:$C$1370,$B53)</f>
        <v>35.6097242122217</v>
      </c>
      <c r="D53" s="6" t="n">
        <f aca="false">SUMIFS(Detalle!$I$2:$I$1370,Detalle!$A$2:$A$1370,"2f639739-object_1",Detalle!$B$2:$B$1370,$A53,Detalle!$C$2:$C$1370,$B53)</f>
        <v>24.361537921841</v>
      </c>
      <c r="E53" s="6" t="n">
        <f aca="false">SUMIFS(Detalle!$I$2:$I$1370,Detalle!$A$2:$A$1370,"5dc9e0d5-object_0",Detalle!$B$2:$B$1370,$A53,Detalle!$C$2:$C$1370,$B53)</f>
        <v>36.1045468142387</v>
      </c>
      <c r="F53" s="6" t="n">
        <f aca="false">SUMIFS(Detalle!$I$2:$I$1370,Detalle!$A$2:$A$1370,"a501b501-object_3",Detalle!$B$2:$B$1370,$A53,Detalle!$C$2:$C$1370,$B53)</f>
        <v>24.2456575434246</v>
      </c>
      <c r="G53" s="6" t="n">
        <f aca="false">SUMIFS(Detalle!$I$2:$I$1370,Detalle!$A$2:$A$1370,"2b65e967-object_0-1",Detalle!$B$2:$B$1370,$A53,Detalle!$C$2:$C$1370,$B53)</f>
        <v>32.8080365644639</v>
      </c>
      <c r="H53" s="6" t="n">
        <f aca="false">SUMIFS(Detalle!$I$2:$I$1370,Detalle!$A$2:$A$1370,"5ed925a3-object_2",Detalle!$B$2:$B$1370,$A53,Detalle!$C$2:$C$1370,$B53)</f>
        <v>36.5897236045327</v>
      </c>
      <c r="I53" s="6" t="n">
        <f aca="false">SUMIFS(Detalle!$I$2:$I$1370,Detalle!$A$2:$A$1370,"70ef0058-object_0",Detalle!$B$2:$B$1370,$A53,Detalle!$C$2:$C$1370,$B53)</f>
        <v>36.0410391377878</v>
      </c>
      <c r="J53" s="6" t="n">
        <f aca="false">SUMIFS(Detalle!$I$2:$I$1370,Detalle!$A$2:$A$1370,"80c13944-object_3",Detalle!$B$2:$B$1370,$A53,Detalle!$C$2:$C$1370,$B53)</f>
        <v>34.0320397790498</v>
      </c>
      <c r="K53" s="6" t="n">
        <f aca="false">SUMIFS(Detalle!$I$2:$I$1370,Detalle!$A$2:$A$1370,"fba550bc-object_1",Detalle!$B$2:$B$1370,$A53,Detalle!$C$2:$C$1370,$B53)</f>
        <v>19.8983339170461</v>
      </c>
      <c r="L53" s="6" t="n">
        <f aca="false">SUMIFS(Detalle!$I$2:$I$1370,Detalle!$A$2:$A$1370,"38448021-object_5",Detalle!$B$2:$B$1370,$A53,Detalle!$C$2:$C$1370,$B53)</f>
        <v>8.33103372426687</v>
      </c>
      <c r="M53" s="5"/>
    </row>
    <row r="54" customFormat="false" ht="15" hidden="false" customHeight="false" outlineLevel="0" collapsed="false">
      <c r="A54" s="5" t="s">
        <v>69</v>
      </c>
      <c r="B54" s="5" t="s">
        <v>74</v>
      </c>
      <c r="C54" s="6" t="n">
        <f aca="false">SUMIFS(Detalle!$I$2:$I$1370,Detalle!$A$2:$A$1370,"2a3facb9-object_2",Detalle!$B$2:$B$1370,$A54,Detalle!$C$2:$C$1370,$B54)</f>
        <v>17.6165849169081</v>
      </c>
      <c r="D54" s="6" t="n">
        <f aca="false">SUMIFS(Detalle!$I$2:$I$1370,Detalle!$A$2:$A$1370,"2f639739-object_1",Detalle!$B$2:$B$1370,$A54,Detalle!$C$2:$C$1370,$B54)</f>
        <v>16.5488969740706</v>
      </c>
      <c r="E54" s="6" t="n">
        <f aca="false">SUMIFS(Detalle!$I$2:$I$1370,Detalle!$A$2:$A$1370,"5dc9e0d5-object_0",Detalle!$B$2:$B$1370,$A54,Detalle!$C$2:$C$1370,$B54)</f>
        <v>17.1814772872954</v>
      </c>
      <c r="F54" s="6" t="n">
        <f aca="false">SUMIFS(Detalle!$I$2:$I$1370,Detalle!$A$2:$A$1370,"a501b501-object_3",Detalle!$B$2:$B$1370,$A54,Detalle!$C$2:$C$1370,$B54)</f>
        <v>12.7887721122789</v>
      </c>
      <c r="G54" s="6" t="n">
        <f aca="false">SUMIFS(Detalle!$I$2:$I$1370,Detalle!$A$2:$A$1370,"2b65e967-object_0-1",Detalle!$B$2:$B$1370,$A54,Detalle!$C$2:$C$1370,$B54)</f>
        <v>19.8990668444106</v>
      </c>
      <c r="H54" s="6" t="n">
        <f aca="false">SUMIFS(Detalle!$I$2:$I$1370,Detalle!$A$2:$A$1370,"5ed925a3-object_2",Detalle!$B$2:$B$1370,$A54,Detalle!$C$2:$C$1370,$B54)</f>
        <v>17.4927053980055</v>
      </c>
      <c r="I54" s="6" t="n">
        <f aca="false">SUMIFS(Detalle!$I$2:$I$1370,Detalle!$A$2:$A$1370,"70ef0058-object_0",Detalle!$B$2:$B$1370,$A54,Detalle!$C$2:$C$1370,$B54)</f>
        <v>19.5981646969348</v>
      </c>
      <c r="J54" s="6" t="n">
        <f aca="false">SUMIFS(Detalle!$I$2:$I$1370,Detalle!$A$2:$A$1370,"80c13944-object_3",Detalle!$B$2:$B$1370,$A54,Detalle!$C$2:$C$1370,$B54)</f>
        <v>18.721717075518</v>
      </c>
      <c r="K54" s="6" t="n">
        <f aca="false">SUMIFS(Detalle!$I$2:$I$1370,Detalle!$A$2:$A$1370,"fba550bc-object_1",Detalle!$B$2:$B$1370,$A54,Detalle!$C$2:$C$1370,$B54)</f>
        <v>17.0369740331215</v>
      </c>
      <c r="L54" s="6" t="n">
        <f aca="false">SUMIFS(Detalle!$I$2:$I$1370,Detalle!$A$2:$A$1370,"38448021-object_5",Detalle!$B$2:$B$1370,$A54,Detalle!$C$2:$C$1370,$B54)</f>
        <v>0.833958227101393</v>
      </c>
      <c r="M54" s="5"/>
    </row>
    <row r="55" customFormat="false" ht="15" hidden="false" customHeight="false" outlineLevel="0" collapsed="false">
      <c r="A55" s="7" t="s">
        <v>75</v>
      </c>
      <c r="B55" s="7" t="s">
        <v>76</v>
      </c>
      <c r="C55" s="8" t="n">
        <f aca="false">SUMIFS(Detalle!$I$2:$I$1370,Detalle!$A$2:$A$1370,"2a3facb9-object_2",Detalle!$B$2:$B$1370,$A55,Detalle!$C$2:$C$1370,$B55)</f>
        <v>22.0825794576278</v>
      </c>
      <c r="D55" s="8" t="n">
        <f aca="false">SUMIFS(Detalle!$I$2:$I$1370,Detalle!$A$2:$A$1370,"2f639739-object_1",Detalle!$B$2:$B$1370,$A55,Detalle!$C$2:$C$1370,$B55)</f>
        <v>21.730663218771</v>
      </c>
      <c r="E55" s="8" t="n">
        <f aca="false">SUMIFS(Detalle!$I$2:$I$1370,Detalle!$A$2:$A$1370,"5dc9e0d5-object_0",Detalle!$B$2:$B$1370,$A55,Detalle!$C$2:$C$1370,$B55)</f>
        <v>21.4319366693731</v>
      </c>
      <c r="F55" s="8" t="n">
        <f aca="false">SUMIFS(Detalle!$I$2:$I$1370,Detalle!$A$2:$A$1370,"a501b501-object_3",Detalle!$B$2:$B$1370,$A55,Detalle!$C$2:$C$1370,$B55)</f>
        <v>17.579574204258</v>
      </c>
      <c r="G55" s="8" t="n">
        <f aca="false">SUMIFS(Detalle!$I$2:$I$1370,Detalle!$A$2:$A$1370,"2b65e967-object_0-1",Detalle!$B$2:$B$1370,$A55,Detalle!$C$2:$C$1370,$B55)</f>
        <v>20.7512854694344</v>
      </c>
      <c r="H55" s="8" t="n">
        <f aca="false">SUMIFS(Detalle!$I$2:$I$1370,Detalle!$A$2:$A$1370,"5ed925a3-object_2",Detalle!$B$2:$B$1370,$A55,Detalle!$C$2:$C$1370,$B55)</f>
        <v>22.4537342366649</v>
      </c>
      <c r="I55" s="8" t="n">
        <f aca="false">SUMIFS(Detalle!$I$2:$I$1370,Detalle!$A$2:$A$1370,"70ef0058-object_0",Detalle!$B$2:$B$1370,$A55,Detalle!$C$2:$C$1370,$B55)</f>
        <v>16.0511963494081</v>
      </c>
      <c r="J55" s="8" t="n">
        <f aca="false">SUMIFS(Detalle!$I$2:$I$1370,Detalle!$A$2:$A$1370,"80c13944-object_3",Detalle!$B$2:$B$1370,$A55,Detalle!$C$2:$C$1370,$B55)</f>
        <v>18.5893374502511</v>
      </c>
      <c r="K55" s="8" t="n">
        <f aca="false">SUMIFS(Detalle!$I$2:$I$1370,Detalle!$A$2:$A$1370,"fba550bc-object_1",Detalle!$B$2:$B$1370,$A55,Detalle!$C$2:$C$1370,$B55)</f>
        <v>17.1928753689898</v>
      </c>
      <c r="L55" s="7"/>
      <c r="M55" s="7"/>
    </row>
    <row r="56" customFormat="false" ht="15" hidden="false" customHeight="false" outlineLevel="0" collapsed="false">
      <c r="A56" s="7" t="s">
        <v>75</v>
      </c>
      <c r="B56" s="7" t="s">
        <v>77</v>
      </c>
      <c r="C56" s="8" t="n">
        <f aca="false">SUMIFS(Detalle!$I$2:$I$1370,Detalle!$A$2:$A$1370,"2a3facb9-object_2",Detalle!$B$2:$B$1370,$A56,Detalle!$C$2:$C$1370,$B56)</f>
        <v>22.0825794576278</v>
      </c>
      <c r="D56" s="8" t="n">
        <f aca="false">SUMIFS(Detalle!$I$2:$I$1370,Detalle!$A$2:$A$1370,"2f639739-object_1",Detalle!$B$2:$B$1370,$A56,Detalle!$C$2:$C$1370,$B56)</f>
        <v>21.730663218771</v>
      </c>
      <c r="E56" s="8" t="n">
        <f aca="false">SUMIFS(Detalle!$I$2:$I$1370,Detalle!$A$2:$A$1370,"5dc9e0d5-object_0",Detalle!$B$2:$B$1370,$A56,Detalle!$C$2:$C$1370,$B56)</f>
        <v>21.4319366693731</v>
      </c>
      <c r="F56" s="8" t="n">
        <f aca="false">SUMIFS(Detalle!$I$2:$I$1370,Detalle!$A$2:$A$1370,"a501b501-object_3",Detalle!$B$2:$B$1370,$A56,Detalle!$C$2:$C$1370,$B56)</f>
        <v>17.579574204258</v>
      </c>
      <c r="G56" s="8" t="n">
        <f aca="false">SUMIFS(Detalle!$I$2:$I$1370,Detalle!$A$2:$A$1370,"2b65e967-object_0-1",Detalle!$B$2:$B$1370,$A56,Detalle!$C$2:$C$1370,$B56)</f>
        <v>20.7512854694344</v>
      </c>
      <c r="H56" s="8" t="n">
        <f aca="false">SUMIFS(Detalle!$I$2:$I$1370,Detalle!$A$2:$A$1370,"5ed925a3-object_2",Detalle!$B$2:$B$1370,$A56,Detalle!$C$2:$C$1370,$B56)</f>
        <v>22.4537342366649</v>
      </c>
      <c r="I56" s="8" t="n">
        <f aca="false">SUMIFS(Detalle!$I$2:$I$1370,Detalle!$A$2:$A$1370,"70ef0058-object_0",Detalle!$B$2:$B$1370,$A56,Detalle!$C$2:$C$1370,$B56)</f>
        <v>16.0511963494081</v>
      </c>
      <c r="J56" s="8" t="n">
        <f aca="false">SUMIFS(Detalle!$I$2:$I$1370,Detalle!$A$2:$A$1370,"80c13944-object_3",Detalle!$B$2:$B$1370,$A56,Detalle!$C$2:$C$1370,$B56)</f>
        <v>18.5893374502511</v>
      </c>
      <c r="K56" s="8" t="n">
        <f aca="false">SUMIFS(Detalle!$I$2:$I$1370,Detalle!$A$2:$A$1370,"fba550bc-object_1",Detalle!$B$2:$B$1370,$A56,Detalle!$C$2:$C$1370,$B56)</f>
        <v>17.1928753689898</v>
      </c>
      <c r="L56" s="7"/>
      <c r="M56" s="7"/>
    </row>
    <row r="57" customFormat="false" ht="15" hidden="false" customHeight="false" outlineLevel="0" collapsed="false">
      <c r="A57" s="7" t="s">
        <v>75</v>
      </c>
      <c r="B57" s="7" t="s">
        <v>78</v>
      </c>
      <c r="C57" s="8" t="n">
        <f aca="false">SUMIFS(Detalle!$I$2:$I$1370,Detalle!$A$2:$A$1370,"2a3facb9-object_2",Detalle!$B$2:$B$1370,$A57,Detalle!$C$2:$C$1370,$B57)</f>
        <v>31.117897445015</v>
      </c>
      <c r="D57" s="8" t="n">
        <f aca="false">SUMIFS(Detalle!$I$2:$I$1370,Detalle!$A$2:$A$1370,"2f639739-object_1",Detalle!$B$2:$B$1370,$A57,Detalle!$C$2:$C$1370,$B57)</f>
        <v>28.6196890880115</v>
      </c>
      <c r="E57" s="8" t="n">
        <f aca="false">SUMIFS(Detalle!$I$2:$I$1370,Detalle!$A$2:$A$1370,"5dc9e0d5-object_0",Detalle!$B$2:$B$1370,$A57,Detalle!$C$2:$C$1370,$B57)</f>
        <v>29.8679009444041</v>
      </c>
      <c r="F57" s="8" t="n">
        <f aca="false">SUMIFS(Detalle!$I$2:$I$1370,Detalle!$A$2:$A$1370,"a501b501-object_3",Detalle!$B$2:$B$1370,$A57,Detalle!$C$2:$C$1370,$B57)</f>
        <v>20.420045799542</v>
      </c>
      <c r="G57" s="8" t="n">
        <f aca="false">SUMIFS(Detalle!$I$2:$I$1370,Detalle!$A$2:$A$1370,"2b65e967-object_0-1",Detalle!$B$2:$B$1370,$A57,Detalle!$C$2:$C$1370,$B57)</f>
        <v>32.4490573224148</v>
      </c>
      <c r="H57" s="8" t="n">
        <f aca="false">SUMIFS(Detalle!$I$2:$I$1370,Detalle!$A$2:$A$1370,"5ed925a3-object_2",Detalle!$B$2:$B$1370,$A57,Detalle!$C$2:$C$1370,$B57)</f>
        <v>29.7956012550712</v>
      </c>
      <c r="I57" s="8" t="n">
        <f aca="false">SUMIFS(Detalle!$I$2:$I$1370,Detalle!$A$2:$A$1370,"70ef0058-object_0",Detalle!$B$2:$B$1370,$A57,Detalle!$C$2:$C$1370,$B57)</f>
        <v>32.3990032923376</v>
      </c>
      <c r="J57" s="8" t="n">
        <f aca="false">SUMIFS(Detalle!$I$2:$I$1370,Detalle!$A$2:$A$1370,"80c13944-object_3",Detalle!$B$2:$B$1370,$A57,Detalle!$C$2:$C$1370,$B57)</f>
        <v>34.6101292217622</v>
      </c>
      <c r="K57" s="8" t="n">
        <f aca="false">SUMIFS(Detalle!$I$2:$I$1370,Detalle!$A$2:$A$1370,"fba550bc-object_1",Detalle!$B$2:$B$1370,$A57,Detalle!$C$2:$C$1370,$B57)</f>
        <v>36.0075048781708</v>
      </c>
      <c r="L57" s="7"/>
      <c r="M57" s="7"/>
    </row>
    <row r="58" customFormat="false" ht="15" hidden="false" customHeight="false" outlineLevel="0" collapsed="false">
      <c r="A58" s="5" t="s">
        <v>35</v>
      </c>
      <c r="B58" s="5" t="s">
        <v>79</v>
      </c>
      <c r="C58" s="6" t="n">
        <f aca="false">SUMIFS(Detalle!$I$2:$I$1370,Detalle!$A$2:$A$1370,"2a3facb9-object_2",Detalle!$B$2:$B$1370,$A58,Detalle!$C$2:$C$1370,$B58)</f>
        <v>23.24465</v>
      </c>
      <c r="D58" s="6" t="n">
        <f aca="false">SUMIFS(Detalle!$I$2:$I$1370,Detalle!$A$2:$A$1370,"2f639739-object_1",Detalle!$B$2:$B$1370,$A58,Detalle!$C$2:$C$1370,$B58)</f>
        <v>22.87418</v>
      </c>
      <c r="E58" s="6" t="n">
        <f aca="false">SUMIFS(Detalle!$I$2:$I$1370,Detalle!$A$2:$A$1370,"5dc9e0d5-object_0",Detalle!$B$2:$B$1370,$A58,Detalle!$C$2:$C$1370,$B58)</f>
        <v>22.56003</v>
      </c>
      <c r="F58" s="6" t="n">
        <f aca="false">SUMIFS(Detalle!$I$2:$I$1370,Detalle!$A$2:$A$1370,"a501b501-object_3",Detalle!$B$2:$B$1370,$A58,Detalle!$C$2:$C$1370,$B58)</f>
        <v>18.50492</v>
      </c>
      <c r="G58" s="6" t="n">
        <f aca="false">SUMIFS(Detalle!$I$2:$I$1370,Detalle!$A$2:$A$1370,"2b65e967-object_0-1",Detalle!$B$2:$B$1370,$A58,Detalle!$C$2:$C$1370,$B58)</f>
        <v>21.84348</v>
      </c>
      <c r="H58" s="6" t="n">
        <f aca="false">SUMIFS(Detalle!$I$2:$I$1370,Detalle!$A$2:$A$1370,"5ed925a3-object_2",Detalle!$B$2:$B$1370,$A58,Detalle!$C$2:$C$1370,$B58)</f>
        <v>23.63584</v>
      </c>
      <c r="I58" s="6" t="n">
        <f aca="false">SUMIFS(Detalle!$I$2:$I$1370,Detalle!$A$2:$A$1370,"70ef0058-object_0",Detalle!$B$2:$B$1370,$A58,Detalle!$C$2:$C$1370,$B58)</f>
        <v>16.89586</v>
      </c>
      <c r="J58" s="6" t="n">
        <f aca="false">SUMIFS(Detalle!$I$2:$I$1370,Detalle!$A$2:$A$1370,"80c13944-object_3",Detalle!$B$2:$B$1370,$A58,Detalle!$C$2:$C$1370,$B58)</f>
        <v>19.56822</v>
      </c>
      <c r="K58" s="6" t="n">
        <f aca="false">SUMIFS(Detalle!$I$2:$I$1370,Detalle!$A$2:$A$1370,"fba550bc-object_1",Detalle!$B$2:$B$1370,$A58,Detalle!$C$2:$C$1370,$B58)</f>
        <v>18.0975</v>
      </c>
      <c r="L58" s="5"/>
      <c r="M58" s="5"/>
    </row>
    <row r="59" customFormat="false" ht="15" hidden="false" customHeight="false" outlineLevel="0" collapsed="false">
      <c r="A59" s="5" t="s">
        <v>35</v>
      </c>
      <c r="B59" s="5" t="s">
        <v>80</v>
      </c>
      <c r="C59" s="6" t="n">
        <f aca="false">SUMIFS(Detalle!$I$2:$I$1370,Detalle!$A$2:$A$1370,"2a3facb9-object_2",Detalle!$B$2:$B$1370,$A59,Detalle!$C$2:$C$1370,$B59)</f>
        <v>32.75535</v>
      </c>
      <c r="D59" s="6" t="n">
        <f aca="false">SUMIFS(Detalle!$I$2:$I$1370,Detalle!$A$2:$A$1370,"2f639739-object_1",Detalle!$B$2:$B$1370,$A59,Detalle!$C$2:$C$1370,$B59)</f>
        <v>30.12582</v>
      </c>
      <c r="E59" s="6" t="n">
        <f aca="false">SUMIFS(Detalle!$I$2:$I$1370,Detalle!$A$2:$A$1370,"5dc9e0d5-object_0",Detalle!$B$2:$B$1370,$A59,Detalle!$C$2:$C$1370,$B59)</f>
        <v>31.43997</v>
      </c>
      <c r="F59" s="6" t="n">
        <f aca="false">SUMIFS(Detalle!$I$2:$I$1370,Detalle!$A$2:$A$1370,"a501b501-object_3",Detalle!$B$2:$B$1370,$A59,Detalle!$C$2:$C$1370,$B59)</f>
        <v>21.49508</v>
      </c>
      <c r="G59" s="6" t="n">
        <f aca="false">SUMIFS(Detalle!$I$2:$I$1370,Detalle!$A$2:$A$1370,"2b65e967-object_0-1",Detalle!$B$2:$B$1370,$A59,Detalle!$C$2:$C$1370,$B59)</f>
        <v>34.15652</v>
      </c>
      <c r="H59" s="6" t="n">
        <f aca="false">SUMIFS(Detalle!$I$2:$I$1370,Detalle!$A$2:$A$1370,"5ed925a3-object_2",Detalle!$B$2:$B$1370,$A59,Detalle!$C$2:$C$1370,$B59)</f>
        <v>31.36416</v>
      </c>
      <c r="I59" s="6" t="n">
        <f aca="false">SUMIFS(Detalle!$I$2:$I$1370,Detalle!$A$2:$A$1370,"70ef0058-object_0",Detalle!$B$2:$B$1370,$A59,Detalle!$C$2:$C$1370,$B59)</f>
        <v>34.10414</v>
      </c>
      <c r="J59" s="6" t="n">
        <f aca="false">SUMIFS(Detalle!$I$2:$I$1370,Detalle!$A$2:$A$1370,"80c13944-object_3",Detalle!$B$2:$B$1370,$A59,Detalle!$C$2:$C$1370,$B59)</f>
        <v>36.43178</v>
      </c>
      <c r="K59" s="6" t="n">
        <f aca="false">SUMIFS(Detalle!$I$2:$I$1370,Detalle!$A$2:$A$1370,"fba550bc-object_1",Detalle!$B$2:$B$1370,$A59,Detalle!$C$2:$C$1370,$B59)</f>
        <v>37.9025</v>
      </c>
      <c r="L59" s="5"/>
      <c r="M59" s="5"/>
    </row>
    <row r="60" customFormat="false" ht="15" hidden="false" customHeight="false" outlineLevel="0" collapsed="false">
      <c r="A60" s="7" t="s">
        <v>75</v>
      </c>
      <c r="B60" s="7" t="s">
        <v>81</v>
      </c>
      <c r="C60" s="8" t="n">
        <f aca="false">SUMIFS(Detalle!$I$2:$I$1370,Detalle!$A$2:$A$1370,"2a3facb9-object_2",Detalle!$B$2:$B$1370,$A60,Detalle!$C$2:$C$1370,$B60)</f>
        <v>14.1948084545635</v>
      </c>
      <c r="D60" s="8" t="n">
        <f aca="false">SUMIFS(Detalle!$I$2:$I$1370,Detalle!$A$2:$A$1370,"2f639739-object_1",Detalle!$B$2:$B$1370,$A60,Detalle!$C$2:$C$1370,$B60)</f>
        <v>9.74461516873641</v>
      </c>
      <c r="E60" s="8" t="n">
        <f aca="false">SUMIFS(Detalle!$I$2:$I$1370,Detalle!$A$2:$A$1370,"5dc9e0d5-object_0",Detalle!$B$2:$B$1370,$A60,Detalle!$C$2:$C$1370,$B60)</f>
        <v>13.0852848168882</v>
      </c>
      <c r="F60" s="8" t="n">
        <f aca="false">SUMIFS(Detalle!$I$2:$I$1370,Detalle!$A$2:$A$1370,"a501b501-object_3",Detalle!$B$2:$B$1370,$A60,Detalle!$C$2:$C$1370,$B60)</f>
        <v>9.90460095399046</v>
      </c>
      <c r="G60" s="8" t="n">
        <f aca="false">SUMIFS(Detalle!$I$2:$I$1370,Detalle!$A$2:$A$1370,"2b65e967-object_0-1",Detalle!$B$2:$B$1370,$A60,Detalle!$C$2:$C$1370,$B60)</f>
        <v>13.135593220339</v>
      </c>
      <c r="H60" s="8" t="n">
        <f aca="false">SUMIFS(Detalle!$I$2:$I$1370,Detalle!$A$2:$A$1370,"5ed925a3-object_2",Detalle!$B$2:$B$1370,$A60,Detalle!$C$2:$C$1370,$B60)</f>
        <v>12.8269080880149</v>
      </c>
      <c r="I60" s="8" t="n">
        <f aca="false">SUMIFS(Detalle!$I$2:$I$1370,Detalle!$A$2:$A$1370,"70ef0058-object_0",Detalle!$B$2:$B$1370,$A60,Detalle!$C$2:$C$1370,$B60)</f>
        <v>14.8105655015061</v>
      </c>
      <c r="J60" s="8" t="n">
        <f aca="false">SUMIFS(Detalle!$I$2:$I$1370,Detalle!$A$2:$A$1370,"80c13944-object_3",Detalle!$B$2:$B$1370,$A60,Detalle!$C$2:$C$1370,$B60)</f>
        <v>12.9427273912041</v>
      </c>
      <c r="K60" s="8" t="n">
        <f aca="false">SUMIFS(Detalle!$I$2:$I$1370,Detalle!$A$2:$A$1370,"fba550bc-object_1",Detalle!$B$2:$B$1370,$A60,Detalle!$C$2:$C$1370,$B60)</f>
        <v>8.60879571721619</v>
      </c>
      <c r="L60" s="7"/>
      <c r="M60" s="7"/>
    </row>
    <row r="61" customFormat="false" ht="15" hidden="false" customHeight="false" outlineLevel="0" collapsed="false">
      <c r="A61" s="7" t="s">
        <v>75</v>
      </c>
      <c r="B61" s="7" t="s">
        <v>82</v>
      </c>
      <c r="C61" s="8" t="n">
        <f aca="false">SUMIFS(Detalle!$I$2:$I$1370,Detalle!$A$2:$A$1370,"2a3facb9-object_2",Detalle!$B$2:$B$1370,$A61,Detalle!$C$2:$C$1370,$B61)</f>
        <v>14.6120982670446</v>
      </c>
      <c r="D61" s="8" t="n">
        <f aca="false">SUMIFS(Detalle!$I$2:$I$1370,Detalle!$A$2:$A$1370,"2f639739-object_1",Detalle!$B$2:$B$1370,$A61,Detalle!$C$2:$C$1370,$B61)</f>
        <v>13.3552835994427</v>
      </c>
      <c r="E61" s="8" t="n">
        <f aca="false">SUMIFS(Detalle!$I$2:$I$1370,Detalle!$A$2:$A$1370,"5dc9e0d5-object_0",Detalle!$B$2:$B$1370,$A61,Detalle!$C$2:$C$1370,$B61)</f>
        <v>13.104568180847</v>
      </c>
      <c r="F61" s="8" t="n">
        <f aca="false">SUMIFS(Detalle!$I$2:$I$1370,Detalle!$A$2:$A$1370,"a501b501-object_3",Detalle!$B$2:$B$1370,$A61,Detalle!$C$2:$C$1370,$B61)</f>
        <v>10.230447695523</v>
      </c>
      <c r="G61" s="8" t="n">
        <f aca="false">SUMIFS(Detalle!$I$2:$I$1370,Detalle!$A$2:$A$1370,"2b65e967-object_0-1",Detalle!$B$2:$B$1370,$A61,Detalle!$C$2:$C$1370,$B61)</f>
        <v>12.8546943439345</v>
      </c>
      <c r="H61" s="8" t="n">
        <f aca="false">SUMIFS(Detalle!$I$2:$I$1370,Detalle!$A$2:$A$1370,"5ed925a3-object_2",Detalle!$B$2:$B$1370,$A61,Detalle!$C$2:$C$1370,$B61)</f>
        <v>11.9573515598457</v>
      </c>
      <c r="I61" s="8" t="n">
        <f aca="false">SUMIFS(Detalle!$I$2:$I$1370,Detalle!$A$2:$A$1370,"70ef0058-object_0",Detalle!$B$2:$B$1370,$A61,Detalle!$C$2:$C$1370,$B61)</f>
        <v>15.4969528365139</v>
      </c>
      <c r="J61" s="8" t="n">
        <f aca="false">SUMIFS(Detalle!$I$2:$I$1370,Detalle!$A$2:$A$1370,"80c13944-object_3",Detalle!$B$2:$B$1370,$A61,Detalle!$C$2:$C$1370,$B61)</f>
        <v>13.0932020731622</v>
      </c>
      <c r="K61" s="8" t="n">
        <f aca="false">SUMIFS(Detalle!$I$2:$I$1370,Detalle!$A$2:$A$1370,"fba550bc-object_1",Detalle!$B$2:$B$1370,$A61,Detalle!$C$2:$C$1370,$B61)</f>
        <v>12.5167859108421</v>
      </c>
      <c r="L61" s="7"/>
      <c r="M61" s="7"/>
    </row>
    <row r="62" customFormat="false" ht="15" hidden="false" customHeight="false" outlineLevel="0" collapsed="false">
      <c r="A62" s="7" t="s">
        <v>75</v>
      </c>
      <c r="B62" s="7" t="s">
        <v>83</v>
      </c>
      <c r="C62" s="8" t="n">
        <f aca="false">SUMIFS(Detalle!$I$2:$I$1370,Detalle!$A$2:$A$1370,"2a3facb9-object_2",Detalle!$B$2:$B$1370,$A62,Detalle!$C$2:$C$1370,$B62)</f>
        <v>44.4711714444084</v>
      </c>
      <c r="D62" s="8" t="n">
        <f aca="false">SUMIFS(Detalle!$I$2:$I$1370,Detalle!$A$2:$A$1370,"2f639739-object_1",Detalle!$B$2:$B$1370,$A62,Detalle!$C$2:$C$1370,$B62)</f>
        <v>40.0858465886881</v>
      </c>
      <c r="E62" s="8" t="n">
        <f aca="false">SUMIFS(Detalle!$I$2:$I$1370,Detalle!$A$2:$A$1370,"5dc9e0d5-object_0",Detalle!$B$2:$B$1370,$A62,Detalle!$C$2:$C$1370,$B62)</f>
        <v>41.9291376436904</v>
      </c>
      <c r="F62" s="8" t="n">
        <f aca="false">SUMIFS(Detalle!$I$2:$I$1370,Detalle!$A$2:$A$1370,"a501b501-object_3",Detalle!$B$2:$B$1370,$A62,Detalle!$C$2:$C$1370,$B62)</f>
        <v>32.90007099929</v>
      </c>
      <c r="G62" s="8" t="n">
        <f aca="false">SUMIFS(Detalle!$I$2:$I$1370,Detalle!$A$2:$A$1370,"2b65e967-object_0-1",Detalle!$B$2:$B$1370,$A62,Detalle!$C$2:$C$1370,$B62)</f>
        <v>39.467720434203</v>
      </c>
      <c r="H62" s="8" t="n">
        <f aca="false">SUMIFS(Detalle!$I$2:$I$1370,Detalle!$A$2:$A$1370,"5ed925a3-object_2",Detalle!$B$2:$B$1370,$A62,Detalle!$C$2:$C$1370,$B62)</f>
        <v>37.6852129424226</v>
      </c>
      <c r="I62" s="8" t="n">
        <f aca="false">SUMIFS(Detalle!$I$2:$I$1370,Detalle!$A$2:$A$1370,"70ef0058-object_0",Detalle!$B$2:$B$1370,$A62,Detalle!$C$2:$C$1370,$B62)</f>
        <v>45.1266399143392</v>
      </c>
      <c r="J62" s="8" t="n">
        <f aca="false">SUMIFS(Detalle!$I$2:$I$1370,Detalle!$A$2:$A$1370,"80c13944-object_3",Detalle!$B$2:$B$1370,$A62,Detalle!$C$2:$C$1370,$B62)</f>
        <v>40.008170344157</v>
      </c>
      <c r="K62" s="8" t="n">
        <f aca="false">SUMIFS(Detalle!$I$2:$I$1370,Detalle!$A$2:$A$1370,"fba550bc-object_1",Detalle!$B$2:$B$1370,$A62,Detalle!$C$2:$C$1370,$B62)</f>
        <v>35.0758993345675</v>
      </c>
      <c r="L62" s="7"/>
      <c r="M62" s="7"/>
    </row>
    <row r="63" customFormat="false" ht="15" hidden="false" customHeight="false" outlineLevel="0" collapsed="false">
      <c r="A63" s="7" t="s">
        <v>75</v>
      </c>
      <c r="B63" s="7" t="s">
        <v>84</v>
      </c>
      <c r="C63" s="8" t="n">
        <f aca="false">SUMIFS(Detalle!$I$2:$I$1370,Detalle!$A$2:$A$1370,"2a3facb9-object_2",Detalle!$B$2:$B$1370,$A63,Detalle!$C$2:$C$1370,$B63)</f>
        <v>13.6106027170901</v>
      </c>
      <c r="D63" s="8" t="n">
        <f aca="false">SUMIFS(Detalle!$I$2:$I$1370,Detalle!$A$2:$A$1370,"2f639739-object_1",Detalle!$B$2:$B$1370,$A63,Detalle!$C$2:$C$1370,$B63)</f>
        <v>9.38183440077778</v>
      </c>
      <c r="E63" s="8" t="n">
        <f aca="false">SUMIFS(Detalle!$I$2:$I$1370,Detalle!$A$2:$A$1370,"5dc9e0d5-object_0",Detalle!$B$2:$B$1370,$A63,Detalle!$C$2:$C$1370,$B63)</f>
        <v>13.0517926584334</v>
      </c>
      <c r="F63" s="8" t="n">
        <f aca="false">SUMIFS(Detalle!$I$2:$I$1370,Detalle!$A$2:$A$1370,"a501b501-object_3",Detalle!$B$2:$B$1370,$A63,Detalle!$C$2:$C$1370,$B63)</f>
        <v>10.2465975340247</v>
      </c>
      <c r="G63" s="8" t="n">
        <f aca="false">SUMIFS(Detalle!$I$2:$I$1370,Detalle!$A$2:$A$1370,"2b65e967-object_0-1",Detalle!$B$2:$B$1370,$A63,Detalle!$C$2:$C$1370,$B63)</f>
        <v>12.2424300133308</v>
      </c>
      <c r="H63" s="8" t="n">
        <f aca="false">SUMIFS(Detalle!$I$2:$I$1370,Detalle!$A$2:$A$1370,"5ed925a3-object_2",Detalle!$B$2:$B$1370,$A63,Detalle!$C$2:$C$1370,$B63)</f>
        <v>12.6892599476388</v>
      </c>
      <c r="I63" s="8" t="n">
        <f aca="false">SUMIFS(Detalle!$I$2:$I$1370,Detalle!$A$2:$A$1370,"70ef0058-object_0",Detalle!$B$2:$B$1370,$A63,Detalle!$C$2:$C$1370,$B63)</f>
        <v>13.9226350709003</v>
      </c>
      <c r="J63" s="8" t="n">
        <f aca="false">SUMIFS(Detalle!$I$2:$I$1370,Detalle!$A$2:$A$1370,"80c13944-object_3",Detalle!$B$2:$B$1370,$A63,Detalle!$C$2:$C$1370,$B63)</f>
        <v>12.1236879830779</v>
      </c>
      <c r="K63" s="8" t="n">
        <f aca="false">SUMIFS(Detalle!$I$2:$I$1370,Detalle!$A$2:$A$1370,"fba550bc-object_1",Detalle!$B$2:$B$1370,$A63,Detalle!$C$2:$C$1370,$B63)</f>
        <v>8.11922749787362</v>
      </c>
      <c r="L63" s="7"/>
      <c r="M63" s="7"/>
    </row>
    <row r="64" customFormat="false" ht="15" hidden="false" customHeight="false" outlineLevel="0" collapsed="false">
      <c r="A64" s="7" t="s">
        <v>75</v>
      </c>
      <c r="B64" s="7" t="s">
        <v>85</v>
      </c>
      <c r="C64" s="8" t="n">
        <f aca="false">SUMIFS(Detalle!$I$2:$I$1370,Detalle!$A$2:$A$1370,"2a3facb9-object_2",Detalle!$B$2:$B$1370,$A64,Detalle!$C$2:$C$1370,$B64)</f>
        <v>14.3130405680998</v>
      </c>
      <c r="D64" s="8" t="n">
        <f aca="false">SUMIFS(Detalle!$I$2:$I$1370,Detalle!$A$2:$A$1370,"2f639739-object_1",Detalle!$B$2:$B$1370,$A64,Detalle!$C$2:$C$1370,$B64)</f>
        <v>13.3743272093093</v>
      </c>
      <c r="E64" s="8" t="n">
        <f aca="false">SUMIFS(Detalle!$I$2:$I$1370,Detalle!$A$2:$A$1370,"5dc9e0d5-object_0",Detalle!$B$2:$B$1370,$A64,Detalle!$C$2:$C$1370,$B64)</f>
        <v>13.03859877783</v>
      </c>
      <c r="F64" s="8" t="n">
        <f aca="false">SUMIFS(Detalle!$I$2:$I$1370,Detalle!$A$2:$A$1370,"a501b501-object_3",Detalle!$B$2:$B$1370,$A64,Detalle!$C$2:$C$1370,$B64)</f>
        <v>10.2893471065289</v>
      </c>
      <c r="G64" s="8" t="n">
        <f aca="false">SUMIFS(Detalle!$I$2:$I$1370,Detalle!$A$2:$A$1370,"2b65e967-object_0-1",Detalle!$B$2:$B$1370,$A64,Detalle!$C$2:$C$1370,$B64)</f>
        <v>11.8177490001904</v>
      </c>
      <c r="H64" s="8" t="n">
        <f aca="false">SUMIFS(Detalle!$I$2:$I$1370,Detalle!$A$2:$A$1370,"5ed925a3-object_2",Detalle!$B$2:$B$1370,$A64,Detalle!$C$2:$C$1370,$B64)</f>
        <v>11.7978695765134</v>
      </c>
      <c r="I64" s="8" t="n">
        <f aca="false">SUMIFS(Detalle!$I$2:$I$1370,Detalle!$A$2:$A$1370,"70ef0058-object_0",Detalle!$B$2:$B$1370,$A64,Detalle!$C$2:$C$1370,$B64)</f>
        <v>14.0329133684916</v>
      </c>
      <c r="J64" s="8" t="n">
        <f aca="false">SUMIFS(Detalle!$I$2:$I$1370,Detalle!$A$2:$A$1370,"80c13944-object_3",Detalle!$B$2:$B$1370,$A64,Detalle!$C$2:$C$1370,$B64)</f>
        <v>11.1370312077072</v>
      </c>
      <c r="K64" s="8" t="n">
        <f aca="false">SUMIFS(Detalle!$I$2:$I$1370,Detalle!$A$2:$A$1370,"fba550bc-object_1",Detalle!$B$2:$B$1370,$A64,Detalle!$C$2:$C$1370,$B64)</f>
        <v>12.5709711312353</v>
      </c>
      <c r="L64" s="7"/>
      <c r="M64" s="7"/>
    </row>
    <row r="65" customFormat="false" ht="15" hidden="false" customHeight="false" outlineLevel="0" collapsed="false">
      <c r="A65" s="7" t="s">
        <v>75</v>
      </c>
      <c r="B65" s="7" t="s">
        <v>86</v>
      </c>
      <c r="C65" s="8" t="n">
        <f aca="false">SUMIFS(Detalle!$I$2:$I$1370,Detalle!$A$2:$A$1370,"2a3facb9-object_2",Detalle!$B$2:$B$1370,$A65,Detalle!$C$2:$C$1370,$B65)</f>
        <v>43.033508685694</v>
      </c>
      <c r="D65" s="8" t="n">
        <f aca="false">SUMIFS(Detalle!$I$2:$I$1370,Detalle!$A$2:$A$1370,"2f639739-object_1",Detalle!$B$2:$B$1370,$A65,Detalle!$C$2:$C$1370,$B65)</f>
        <v>39.8478014653557</v>
      </c>
      <c r="E65" s="8" t="n">
        <f aca="false">SUMIFS(Detalle!$I$2:$I$1370,Detalle!$A$2:$A$1370,"5dc9e0d5-object_0",Detalle!$B$2:$B$1370,$A65,Detalle!$C$2:$C$1370,$B65)</f>
        <v>42.2112837058245</v>
      </c>
      <c r="F65" s="8" t="n">
        <f aca="false">SUMIFS(Detalle!$I$2:$I$1370,Detalle!$A$2:$A$1370,"a501b501-object_3",Detalle!$B$2:$B$1370,$A65,Detalle!$C$2:$C$1370,$B65)</f>
        <v>33.8035119648803</v>
      </c>
      <c r="G65" s="8" t="n">
        <f aca="false">SUMIFS(Detalle!$I$2:$I$1370,Detalle!$A$2:$A$1370,"2b65e967-object_0-1",Detalle!$B$2:$B$1370,$A65,Detalle!$C$2:$C$1370,$B65)</f>
        <v>37.9956198819273</v>
      </c>
      <c r="H65" s="8" t="n">
        <f aca="false">SUMIFS(Detalle!$I$2:$I$1370,Detalle!$A$2:$A$1370,"5ed925a3-object_2",Detalle!$B$2:$B$1370,$A65,Detalle!$C$2:$C$1370,$B65)</f>
        <v>37.6662269920259</v>
      </c>
      <c r="I65" s="8" t="n">
        <f aca="false">SUMIFS(Detalle!$I$2:$I$1370,Detalle!$A$2:$A$1370,"70ef0058-object_0",Detalle!$B$2:$B$1370,$A65,Detalle!$C$2:$C$1370,$B65)</f>
        <v>43.529505949224</v>
      </c>
      <c r="J65" s="8" t="n">
        <f aca="false">SUMIFS(Detalle!$I$2:$I$1370,Detalle!$A$2:$A$1370,"80c13944-object_3",Detalle!$B$2:$B$1370,$A65,Detalle!$C$2:$C$1370,$B65)</f>
        <v>37.0520095036641</v>
      </c>
      <c r="K65" s="8" t="n">
        <f aca="false">SUMIFS(Detalle!$I$2:$I$1370,Detalle!$A$2:$A$1370,"fba550bc-object_1",Detalle!$B$2:$B$1370,$A65,Detalle!$C$2:$C$1370,$B65)</f>
        <v>34.7336768899785</v>
      </c>
      <c r="L65" s="7"/>
      <c r="M65" s="7"/>
    </row>
    <row r="66" customFormat="false" ht="15" hidden="false" customHeight="false" outlineLevel="0" collapsed="false">
      <c r="A66" s="7" t="s">
        <v>75</v>
      </c>
      <c r="B66" s="7" t="s">
        <v>87</v>
      </c>
      <c r="C66" s="8" t="n">
        <f aca="false">SUMIFS(Detalle!$I$2:$I$1370,Detalle!$A$2:$A$1370,"2a3facb9-object_2",Detalle!$B$2:$B$1370,$A66,Detalle!$C$2:$C$1370,$B66)</f>
        <v>3.66221487810745</v>
      </c>
      <c r="D66" s="8" t="n">
        <f aca="false">SUMIFS(Detalle!$I$2:$I$1370,Detalle!$A$2:$A$1370,"2f639739-object_1",Detalle!$B$2:$B$1370,$A66,Detalle!$C$2:$C$1370,$B66)</f>
        <v>1.93387858195267</v>
      </c>
      <c r="E66" s="8" t="n">
        <f aca="false">SUMIFS(Detalle!$I$2:$I$1370,Detalle!$A$2:$A$1370,"5dc9e0d5-object_0",Detalle!$B$2:$B$1370,$A66,Detalle!$C$2:$C$1370,$B66)</f>
        <v>5.08674842955429</v>
      </c>
      <c r="F66" s="8" t="n">
        <f aca="false">SUMIFS(Detalle!$I$2:$I$1370,Detalle!$A$2:$A$1370,"a501b501-object_3",Detalle!$B$2:$B$1370,$A66,Detalle!$C$2:$C$1370,$B66)</f>
        <v>1.8239817601824</v>
      </c>
      <c r="G66" s="8" t="n">
        <f aca="false">SUMIFS(Detalle!$I$2:$I$1370,Detalle!$A$2:$A$1370,"2b65e967-object_0-1",Detalle!$B$2:$B$1370,$A66,Detalle!$C$2:$C$1370,$B66)</f>
        <v>2.40049514378214</v>
      </c>
      <c r="H66" s="8" t="n">
        <f aca="false">SUMIFS(Detalle!$I$2:$I$1370,Detalle!$A$2:$A$1370,"5ed925a3-object_2",Detalle!$B$2:$B$1370,$A66,Detalle!$C$2:$C$1370,$B66)</f>
        <v>3.12129024521854</v>
      </c>
      <c r="I66" s="8" t="n">
        <f aca="false">SUMIFS(Detalle!$I$2:$I$1370,Detalle!$A$2:$A$1370,"70ef0058-object_0",Detalle!$B$2:$B$1370,$A66,Detalle!$C$2:$C$1370,$B66)</f>
        <v>4.80090864513805</v>
      </c>
      <c r="J66" s="8" t="n">
        <f aca="false">SUMIFS(Detalle!$I$2:$I$1370,Detalle!$A$2:$A$1370,"80c13944-object_3",Detalle!$B$2:$B$1370,$A66,Detalle!$C$2:$C$1370,$B66)</f>
        <v>4.0837685837736</v>
      </c>
      <c r="K66" s="8" t="n">
        <f aca="false">SUMIFS(Detalle!$I$2:$I$1370,Detalle!$A$2:$A$1370,"fba550bc-object_1",Detalle!$B$2:$B$1370,$A66,Detalle!$C$2:$C$1370,$B66)</f>
        <v>1.58372942412568</v>
      </c>
      <c r="L66" s="7"/>
      <c r="M66" s="7"/>
    </row>
    <row r="67" customFormat="false" ht="15" hidden="false" customHeight="false" outlineLevel="0" collapsed="false">
      <c r="A67" s="7" t="s">
        <v>75</v>
      </c>
      <c r="B67" s="7" t="s">
        <v>88</v>
      </c>
      <c r="C67" s="8" t="n">
        <f aca="false">SUMIFS(Detalle!$I$2:$I$1370,Detalle!$A$2:$A$1370,"2a3facb9-object_2",Detalle!$B$2:$B$1370,$A67,Detalle!$C$2:$C$1370,$B67)</f>
        <v>13.7864605666356</v>
      </c>
      <c r="D67" s="8" t="n">
        <f aca="false">SUMIFS(Detalle!$I$2:$I$1370,Detalle!$A$2:$A$1370,"2f639739-object_1",Detalle!$B$2:$B$1370,$A67,Detalle!$C$2:$C$1370,$B67)</f>
        <v>9.54180072365717</v>
      </c>
      <c r="E67" s="8" t="n">
        <f aca="false">SUMIFS(Detalle!$I$2:$I$1370,Detalle!$A$2:$A$1370,"5dc9e0d5-object_0",Detalle!$B$2:$B$1370,$A67,Detalle!$C$2:$C$1370,$B67)</f>
        <v>12.8934660911927</v>
      </c>
      <c r="F67" s="8" t="n">
        <f aca="false">SUMIFS(Detalle!$I$2:$I$1370,Detalle!$A$2:$A$1370,"a501b501-object_3",Detalle!$B$2:$B$1370,$A67,Detalle!$C$2:$C$1370,$B67)</f>
        <v>10.0290497095029</v>
      </c>
      <c r="G67" s="8" t="n">
        <f aca="false">SUMIFS(Detalle!$I$2:$I$1370,Detalle!$A$2:$A$1370,"2b65e967-object_0-1",Detalle!$B$2:$B$1370,$A67,Detalle!$C$2:$C$1370,$B67)</f>
        <v>13.3517425252333</v>
      </c>
      <c r="H67" s="8" t="n">
        <f aca="false">SUMIFS(Detalle!$I$2:$I$1370,Detalle!$A$2:$A$1370,"5ed925a3-object_2",Detalle!$B$2:$B$1370,$A67,Detalle!$C$2:$C$1370,$B67)</f>
        <v>13.0139196994224</v>
      </c>
      <c r="I67" s="8" t="n">
        <f aca="false">SUMIFS(Detalle!$I$2:$I$1370,Detalle!$A$2:$A$1370,"70ef0058-object_0",Detalle!$B$2:$B$1370,$A67,Detalle!$C$2:$C$1370,$B67)</f>
        <v>15.4902981116593</v>
      </c>
      <c r="J67" s="8" t="n">
        <f aca="false">SUMIFS(Detalle!$I$2:$I$1370,Detalle!$A$2:$A$1370,"80c13944-object_3",Detalle!$B$2:$B$1370,$A67,Detalle!$C$2:$C$1370,$B67)</f>
        <v>15.0750869665467</v>
      </c>
      <c r="K67" s="7"/>
      <c r="L67" s="7"/>
      <c r="M67" s="7"/>
    </row>
    <row r="68" customFormat="false" ht="15" hidden="false" customHeight="false" outlineLevel="0" collapsed="false">
      <c r="A68" s="7" t="s">
        <v>75</v>
      </c>
      <c r="B68" s="7" t="s">
        <v>89</v>
      </c>
      <c r="C68" s="8" t="n">
        <f aca="false">SUMIFS(Detalle!$I$2:$I$1370,Detalle!$A$2:$A$1370,"2a3facb9-object_2",Detalle!$B$2:$B$1370,$A68,Detalle!$C$2:$C$1370,$B68)</f>
        <v>14.2782664170597</v>
      </c>
      <c r="D68" s="8" t="n">
        <f aca="false">SUMIFS(Detalle!$I$2:$I$1370,Detalle!$A$2:$A$1370,"2f639739-object_1",Detalle!$B$2:$B$1370,$A68,Detalle!$C$2:$C$1370,$B68)</f>
        <v>12.4383337843662</v>
      </c>
      <c r="E68" s="8" t="n">
        <f aca="false">SUMIFS(Detalle!$I$2:$I$1370,Detalle!$A$2:$A$1370,"5dc9e0d5-object_0",Detalle!$B$2:$B$1370,$A68,Detalle!$C$2:$C$1370,$B68)</f>
        <v>12.9563907525319</v>
      </c>
      <c r="F68" s="8" t="n">
        <f aca="false">SUMIFS(Detalle!$I$2:$I$1370,Detalle!$A$2:$A$1370,"a501b501-object_3",Detalle!$B$2:$B$1370,$A68,Detalle!$C$2:$C$1370,$B68)</f>
        <v>10.0613493865061</v>
      </c>
      <c r="G68" s="8" t="n">
        <f aca="false">SUMIFS(Detalle!$I$2:$I$1370,Detalle!$A$2:$A$1370,"2b65e967-object_0-1",Detalle!$B$2:$B$1370,$A68,Detalle!$C$2:$C$1370,$B68)</f>
        <v>12.6852028185108</v>
      </c>
      <c r="H68" s="8" t="n">
        <f aca="false">SUMIFS(Detalle!$I$2:$I$1370,Detalle!$A$2:$A$1370,"5ed925a3-object_2",Detalle!$B$2:$B$1370,$A68,Detalle!$C$2:$C$1370,$B68)</f>
        <v>12.2269520554789</v>
      </c>
      <c r="I68" s="8" t="n">
        <f aca="false">SUMIFS(Detalle!$I$2:$I$1370,Detalle!$A$2:$A$1370,"70ef0058-object_0",Detalle!$B$2:$B$1370,$A68,Detalle!$C$2:$C$1370,$B68)</f>
        <v>15.9932051756747</v>
      </c>
      <c r="J68" s="8" t="n">
        <f aca="false">SUMIFS(Detalle!$I$2:$I$1370,Detalle!$A$2:$A$1370,"80c13944-object_3",Detalle!$B$2:$B$1370,$A68,Detalle!$C$2:$C$1370,$B68)</f>
        <v>13.004631532516</v>
      </c>
      <c r="K68" s="7"/>
      <c r="L68" s="7"/>
      <c r="M68" s="7"/>
    </row>
    <row r="69" customFormat="false" ht="15" hidden="false" customHeight="false" outlineLevel="0" collapsed="false">
      <c r="A69" s="7" t="s">
        <v>75</v>
      </c>
      <c r="B69" s="7" t="s">
        <v>90</v>
      </c>
      <c r="C69" s="8" t="n">
        <f aca="false">SUMIFS(Detalle!$I$2:$I$1370,Detalle!$A$2:$A$1370,"2a3facb9-object_2",Detalle!$B$2:$B$1370,$A69,Detalle!$C$2:$C$1370,$B69)</f>
        <v>43.108024723637</v>
      </c>
      <c r="D69" s="8" t="n">
        <f aca="false">SUMIFS(Detalle!$I$2:$I$1370,Detalle!$A$2:$A$1370,"2f639739-object_1",Detalle!$B$2:$B$1370,$A69,Detalle!$C$2:$C$1370,$B69)</f>
        <v>38.3433562858947</v>
      </c>
      <c r="E69" s="8" t="n">
        <f aca="false">SUMIFS(Detalle!$I$2:$I$1370,Detalle!$A$2:$A$1370,"5dc9e0d5-object_0",Detalle!$B$2:$B$1370,$A69,Detalle!$C$2:$C$1370,$B69)</f>
        <v>41.1649074825862</v>
      </c>
      <c r="F69" s="8" t="n">
        <f aca="false">SUMIFS(Detalle!$I$2:$I$1370,Detalle!$A$2:$A$1370,"a501b501-object_3",Detalle!$B$2:$B$1370,$A69,Detalle!$C$2:$C$1370,$B69)</f>
        <v>32.4146258537415</v>
      </c>
      <c r="G69" s="8" t="n">
        <f aca="false">SUMIFS(Detalle!$I$2:$I$1370,Detalle!$A$2:$A$1370,"2b65e967-object_0-1",Detalle!$B$2:$B$1370,$A69,Detalle!$C$2:$C$1370,$B69)</f>
        <v>39.4124928585031</v>
      </c>
      <c r="H69" s="8" t="n">
        <f aca="false">SUMIFS(Detalle!$I$2:$I$1370,Detalle!$A$2:$A$1370,"5ed925a3-object_2",Detalle!$B$2:$B$1370,$A69,Detalle!$C$2:$C$1370,$B69)</f>
        <v>37.8342526530368</v>
      </c>
      <c r="I69" s="8" t="n">
        <f aca="false">SUMIFS(Detalle!$I$2:$I$1370,Detalle!$A$2:$A$1370,"70ef0058-object_0",Detalle!$B$2:$B$1370,$A69,Detalle!$C$2:$C$1370,$B69)</f>
        <v>47.8237048304296</v>
      </c>
      <c r="J69" s="8" t="n">
        <f aca="false">SUMIFS(Detalle!$I$2:$I$1370,Detalle!$A$2:$A$1370,"80c13944-object_3",Detalle!$B$2:$B$1370,$A69,Detalle!$C$2:$C$1370,$B69)</f>
        <v>50.1594971478983</v>
      </c>
      <c r="K69" s="7"/>
      <c r="L69" s="7"/>
      <c r="M69" s="7"/>
    </row>
    <row r="70" customFormat="false" ht="15" hidden="false" customHeight="false" outlineLevel="0" collapsed="false">
      <c r="A70" s="7" t="s">
        <v>75</v>
      </c>
      <c r="B70" s="7" t="s">
        <v>91</v>
      </c>
      <c r="C70" s="8" t="n">
        <f aca="false">SUMIFS(Detalle!$I$2:$I$1370,Detalle!$A$2:$A$1370,"2a3facb9-object_2",Detalle!$B$2:$B$1370,$A70,Detalle!$C$2:$C$1370,$B70)</f>
        <v>13.1754290555027</v>
      </c>
      <c r="D70" s="8" t="n">
        <f aca="false">SUMIFS(Detalle!$I$2:$I$1370,Detalle!$A$2:$A$1370,"2f639739-object_1",Detalle!$B$2:$B$1370,$A70,Detalle!$C$2:$C$1370,$B70)</f>
        <v>9.19330266309849</v>
      </c>
      <c r="E70" s="8" t="n">
        <f aca="false">SUMIFS(Detalle!$I$2:$I$1370,Detalle!$A$2:$A$1370,"5dc9e0d5-object_0",Detalle!$B$2:$B$1370,$A70,Detalle!$C$2:$C$1370,$B70)</f>
        <v>12.9766890303833</v>
      </c>
      <c r="F70" s="8" t="n">
        <f aca="false">SUMIFS(Detalle!$I$2:$I$1370,Detalle!$A$2:$A$1370,"a501b501-object_3",Detalle!$B$2:$B$1370,$A70,Detalle!$C$2:$C$1370,$B70)</f>
        <v>10.0005499945001</v>
      </c>
      <c r="G70" s="8" t="n">
        <f aca="false">SUMIFS(Detalle!$I$2:$I$1370,Detalle!$A$2:$A$1370,"2b65e967-object_0-1",Detalle!$B$2:$B$1370,$A70,Detalle!$C$2:$C$1370,$B70)</f>
        <v>12.1205484669587</v>
      </c>
      <c r="H70" s="8" t="n">
        <f aca="false">SUMIFS(Detalle!$I$2:$I$1370,Detalle!$A$2:$A$1370,"5ed925a3-object_2",Detalle!$B$2:$B$1370,$A70,Detalle!$C$2:$C$1370,$B70)</f>
        <v>12.9683534184703</v>
      </c>
      <c r="I70" s="8" t="n">
        <f aca="false">SUMIFS(Detalle!$I$2:$I$1370,Detalle!$A$2:$A$1370,"70ef0058-object_0",Detalle!$B$2:$B$1370,$A70,Detalle!$C$2:$C$1370,$B70)</f>
        <v>14.5015961332546</v>
      </c>
      <c r="J70" s="8" t="n">
        <f aca="false">SUMIFS(Detalle!$I$2:$I$1370,Detalle!$A$2:$A$1370,"80c13944-object_3",Detalle!$B$2:$B$1370,$A70,Detalle!$C$2:$C$1370,$B70)</f>
        <v>13.3293901815521</v>
      </c>
      <c r="K70" s="8" t="n">
        <f aca="false">SUMIFS(Detalle!$I$2:$I$1370,Detalle!$A$2:$A$1370,"fba550bc-object_1",Detalle!$B$2:$B$1370,$A70,Detalle!$C$2:$C$1370,$B70)</f>
        <v>19.8869265022264</v>
      </c>
      <c r="L70" s="7"/>
      <c r="M70" s="7"/>
    </row>
    <row r="71" customFormat="false" ht="15" hidden="false" customHeight="false" outlineLevel="0" collapsed="false">
      <c r="A71" s="7" t="s">
        <v>75</v>
      </c>
      <c r="B71" s="7" t="s">
        <v>92</v>
      </c>
      <c r="C71" s="8" t="n">
        <f aca="false">SUMIFS(Detalle!$I$2:$I$1370,Detalle!$A$2:$A$1370,"2a3facb9-object_2",Detalle!$B$2:$B$1370,$A71,Detalle!$C$2:$C$1370,$B71)</f>
        <v>13.6751832833074</v>
      </c>
      <c r="D71" s="8" t="n">
        <f aca="false">SUMIFS(Detalle!$I$2:$I$1370,Detalle!$A$2:$A$1370,"2f639739-object_1",Detalle!$B$2:$B$1370,$A71,Detalle!$C$2:$C$1370,$B71)</f>
        <v>12.4821340870594</v>
      </c>
      <c r="E71" s="8" t="n">
        <f aca="false">SUMIFS(Detalle!$I$2:$I$1370,Detalle!$A$2:$A$1370,"5dc9e0d5-object_0",Detalle!$B$2:$B$1370,$A71,Detalle!$C$2:$C$1370,$B71)</f>
        <v>12.7767509935473</v>
      </c>
      <c r="F71" s="8" t="n">
        <f aca="false">SUMIFS(Detalle!$I$2:$I$1370,Detalle!$A$2:$A$1370,"a501b501-object_3",Detalle!$B$2:$B$1370,$A71,Detalle!$C$2:$C$1370,$B71)</f>
        <v>9.91030089699103</v>
      </c>
      <c r="G71" s="8" t="n">
        <f aca="false">SUMIFS(Detalle!$I$2:$I$1370,Detalle!$A$2:$A$1370,"2b65e967-object_0-1",Detalle!$B$2:$B$1370,$A71,Detalle!$C$2:$C$1370,$B71)</f>
        <v>11.7929918110836</v>
      </c>
      <c r="H71" s="8" t="n">
        <f aca="false">SUMIFS(Detalle!$I$2:$I$1370,Detalle!$A$2:$A$1370,"5ed925a3-object_2",Detalle!$B$2:$B$1370,$A71,Detalle!$C$2:$C$1370,$B71)</f>
        <v>12.0275995763135</v>
      </c>
      <c r="I71" s="8" t="n">
        <f aca="false">SUMIFS(Detalle!$I$2:$I$1370,Detalle!$A$2:$A$1370,"70ef0058-object_0",Detalle!$B$2:$B$1370,$A71,Detalle!$C$2:$C$1370,$B71)</f>
        <v>15.6252939587107</v>
      </c>
      <c r="J71" s="8" t="n">
        <f aca="false">SUMIFS(Detalle!$I$2:$I$1370,Detalle!$A$2:$A$1370,"80c13944-object_3",Detalle!$B$2:$B$1370,$A71,Detalle!$C$2:$C$1370,$B71)</f>
        <v>11.7436917925635</v>
      </c>
      <c r="K71" s="8" t="n">
        <f aca="false">SUMIFS(Detalle!$I$2:$I$1370,Detalle!$A$2:$A$1370,"fba550bc-object_1",Detalle!$B$2:$B$1370,$A71,Detalle!$C$2:$C$1370,$B71)</f>
        <v>15.6928003202081</v>
      </c>
      <c r="L71" s="7"/>
      <c r="M71" s="7"/>
    </row>
    <row r="72" customFormat="false" ht="15" hidden="false" customHeight="false" outlineLevel="0" collapsed="false">
      <c r="A72" s="7" t="s">
        <v>75</v>
      </c>
      <c r="B72" s="7" t="s">
        <v>93</v>
      </c>
      <c r="C72" s="8" t="n">
        <f aca="false">SUMIFS(Detalle!$I$2:$I$1370,Detalle!$A$2:$A$1370,"2a3facb9-object_2",Detalle!$B$2:$B$1370,$A72,Detalle!$C$2:$C$1370,$B72)</f>
        <v>41.212336718366</v>
      </c>
      <c r="D72" s="8" t="n">
        <f aca="false">SUMIFS(Detalle!$I$2:$I$1370,Detalle!$A$2:$A$1370,"2f639739-object_1",Detalle!$B$2:$B$1370,$A72,Detalle!$C$2:$C$1370,$B72)</f>
        <v>38.2148119192952</v>
      </c>
      <c r="E72" s="8" t="n">
        <f aca="false">SUMIFS(Detalle!$I$2:$I$1370,Detalle!$A$2:$A$1370,"5dc9e0d5-object_0",Detalle!$B$2:$B$1370,$A72,Detalle!$C$2:$C$1370,$B72)</f>
        <v>41.4257403529764</v>
      </c>
      <c r="F72" s="8" t="n">
        <f aca="false">SUMIFS(Detalle!$I$2:$I$1370,Detalle!$A$2:$A$1370,"a501b501-object_3",Detalle!$B$2:$B$1370,$A72,Detalle!$C$2:$C$1370,$B72)</f>
        <v>32.7186228137719</v>
      </c>
      <c r="G72" s="8" t="n">
        <f aca="false">SUMIFS(Detalle!$I$2:$I$1370,Detalle!$A$2:$A$1370,"2b65e967-object_0-1",Detalle!$B$2:$B$1370,$A72,Detalle!$C$2:$C$1370,$B72)</f>
        <v>37.3052751856789</v>
      </c>
      <c r="H72" s="8" t="n">
        <f aca="false">SUMIFS(Detalle!$I$2:$I$1370,Detalle!$A$2:$A$1370,"5ed925a3-object_2",Detalle!$B$2:$B$1370,$A72,Detalle!$C$2:$C$1370,$B72)</f>
        <v>38.2168195535304</v>
      </c>
      <c r="I72" s="8" t="n">
        <f aca="false">SUMIFS(Detalle!$I$2:$I$1370,Detalle!$A$2:$A$1370,"70ef0058-object_0",Detalle!$B$2:$B$1370,$A72,Detalle!$C$2:$C$1370,$B72)</f>
        <v>47.3825916400645</v>
      </c>
      <c r="J72" s="8" t="n">
        <f aca="false">SUMIFS(Detalle!$I$2:$I$1370,Detalle!$A$2:$A$1370,"80c13944-object_3",Detalle!$B$2:$B$1370,$A72,Detalle!$C$2:$C$1370,$B72)</f>
        <v>39.7919820352678</v>
      </c>
      <c r="K72" s="8" t="n">
        <f aca="false">SUMIFS(Detalle!$I$2:$I$1370,Detalle!$A$2:$A$1370,"fba550bc-object_1",Detalle!$B$2:$B$1370,$A72,Detalle!$C$2:$C$1370,$B72)</f>
        <v>81.2835342972932</v>
      </c>
      <c r="L72" s="7"/>
      <c r="M72" s="7"/>
    </row>
    <row r="73" customFormat="false" ht="15" hidden="false" customHeight="false" outlineLevel="0" collapsed="false">
      <c r="A73" s="7" t="s">
        <v>75</v>
      </c>
      <c r="B73" s="7" t="s">
        <v>94</v>
      </c>
      <c r="C73" s="8" t="n">
        <f aca="false">SUMIFS(Detalle!$I$2:$I$1370,Detalle!$A$2:$A$1370,"2a3facb9-object_2",Detalle!$B$2:$B$1370,$A73,Detalle!$C$2:$C$1370,$B73)</f>
        <v>5.08199378771557</v>
      </c>
      <c r="D73" s="8" t="n">
        <f aca="false">SUMIFS(Detalle!$I$2:$I$1370,Detalle!$A$2:$A$1370,"2f639739-object_1",Detalle!$B$2:$B$1370,$A73,Detalle!$C$2:$C$1370,$B73)</f>
        <v>2.11003197321867</v>
      </c>
      <c r="E73" s="8" t="n">
        <f aca="false">SUMIFS(Detalle!$I$2:$I$1370,Detalle!$A$2:$A$1370,"5dc9e0d5-object_0",Detalle!$B$2:$B$1370,$A73,Detalle!$C$2:$C$1370,$B73)</f>
        <v>6.66696936028375</v>
      </c>
      <c r="F73" s="8" t="n">
        <f aca="false">SUMIFS(Detalle!$I$2:$I$1370,Detalle!$A$2:$A$1370,"a501b501-object_3",Detalle!$B$2:$B$1370,$A73,Detalle!$C$2:$C$1370,$B73)</f>
        <v>2.60772392276077</v>
      </c>
      <c r="G73" s="8" t="n">
        <f aca="false">SUMIFS(Detalle!$I$2:$I$1370,Detalle!$A$2:$A$1370,"2b65e967-object_0-1",Detalle!$B$2:$B$1370,$A73,Detalle!$C$2:$C$1370,$B73)</f>
        <v>3.70691296895829</v>
      </c>
      <c r="H73" s="8" t="n">
        <f aca="false">SUMIFS(Detalle!$I$2:$I$1370,Detalle!$A$2:$A$1370,"5ed925a3-object_2",Detalle!$B$2:$B$1370,$A73,Detalle!$C$2:$C$1370,$B73)</f>
        <v>4.58985350840378</v>
      </c>
      <c r="I73" s="8" t="n">
        <f aca="false">SUMIFS(Detalle!$I$2:$I$1370,Detalle!$A$2:$A$1370,"70ef0058-object_0",Detalle!$B$2:$B$1370,$A73,Detalle!$C$2:$C$1370,$B73)</f>
        <v>6.04058881806082</v>
      </c>
      <c r="J73" s="8" t="n">
        <f aca="false">SUMIFS(Detalle!$I$2:$I$1370,Detalle!$A$2:$A$1370,"80c13944-object_3",Detalle!$B$2:$B$1370,$A73,Detalle!$C$2:$C$1370,$B73)</f>
        <v>5.23899509779351</v>
      </c>
      <c r="K73" s="7"/>
      <c r="L73" s="7"/>
      <c r="M73" s="7"/>
    </row>
    <row r="74" customFormat="false" ht="15" hidden="false" customHeight="false" outlineLevel="0" collapsed="false">
      <c r="A74" s="7" t="s">
        <v>75</v>
      </c>
      <c r="B74" s="7" t="s">
        <v>95</v>
      </c>
      <c r="C74" s="8" t="n">
        <f aca="false">SUMIFS(Detalle!$I$2:$I$1370,Detalle!$A$2:$A$1370,"2a3facb9-object_2",Detalle!$B$2:$B$1370,$A74,Detalle!$C$2:$C$1370,$B74)</f>
        <v>16.3299413284249</v>
      </c>
      <c r="D74" s="8" t="n">
        <f aca="false">SUMIFS(Detalle!$I$2:$I$1370,Detalle!$A$2:$A$1370,"2f639739-object_1",Detalle!$B$2:$B$1370,$A74,Detalle!$C$2:$C$1370,$B74)</f>
        <v>21.7297110382777</v>
      </c>
      <c r="E74" s="8" t="n">
        <f aca="false">SUMIFS(Detalle!$I$2:$I$1370,Detalle!$A$2:$A$1370,"5dc9e0d5-object_0",Detalle!$B$2:$B$1370,$A74,Detalle!$C$2:$C$1370,$B74)</f>
        <v>14.4909405580958</v>
      </c>
      <c r="F74" s="8" t="n">
        <f aca="false">SUMIFS(Detalle!$I$2:$I$1370,Detalle!$A$2:$A$1370,"a501b501-object_3",Detalle!$B$2:$B$1370,$A74,Detalle!$C$2:$C$1370,$B74)</f>
        <v>10.5382446175538</v>
      </c>
      <c r="G74" s="8" t="n">
        <f aca="false">SUMIFS(Detalle!$I$2:$I$1370,Detalle!$A$2:$A$1370,"2b65e967-object_0-1",Detalle!$B$2:$B$1370,$A74,Detalle!$C$2:$C$1370,$B74)</f>
        <v>17.1138830698915</v>
      </c>
      <c r="H74" s="8" t="n">
        <f aca="false">SUMIFS(Detalle!$I$2:$I$1370,Detalle!$A$2:$A$1370,"5ed925a3-object_2",Detalle!$B$2:$B$1370,$A74,Detalle!$C$2:$C$1370,$B74)</f>
        <v>16.9354677538621</v>
      </c>
      <c r="I74" s="8" t="n">
        <f aca="false">SUMIFS(Detalle!$I$2:$I$1370,Detalle!$A$2:$A$1370,"70ef0058-object_0",Detalle!$B$2:$B$1370,$A74,Detalle!$C$2:$C$1370,$B74)</f>
        <v>15.1851314433248</v>
      </c>
      <c r="J74" s="8" t="n">
        <f aca="false">SUMIFS(Detalle!$I$2:$I$1370,Detalle!$A$2:$A$1370,"80c13944-object_3",Detalle!$B$2:$B$1370,$A74,Detalle!$C$2:$C$1370,$B74)</f>
        <v>19.4798047137372</v>
      </c>
      <c r="K74" s="8" t="n">
        <f aca="false">SUMIFS(Detalle!$I$2:$I$1370,Detalle!$A$2:$A$1370,"fba550bc-object_1",Detalle!$B$2:$B$1370,$A74,Detalle!$C$2:$C$1370,$B74)</f>
        <v>10.1868214339321</v>
      </c>
      <c r="L74" s="7"/>
      <c r="M74" s="7"/>
    </row>
    <row r="75" customFormat="false" ht="15" hidden="false" customHeight="false" outlineLevel="0" collapsed="false">
      <c r="A75" s="7" t="s">
        <v>75</v>
      </c>
      <c r="B75" s="7" t="s">
        <v>96</v>
      </c>
      <c r="C75" s="8" t="n">
        <f aca="false">SUMIFS(Detalle!$I$2:$I$1370,Detalle!$A$2:$A$1370,"2a3facb9-object_2",Detalle!$B$2:$B$1370,$A75,Detalle!$C$2:$C$1370,$B75)</f>
        <v>16.6578118953743</v>
      </c>
      <c r="D75" s="8" t="n">
        <f aca="false">SUMIFS(Detalle!$I$2:$I$1370,Detalle!$A$2:$A$1370,"2f639739-object_1",Detalle!$B$2:$B$1370,$A75,Detalle!$C$2:$C$1370,$B75)</f>
        <v>12.5002255164326</v>
      </c>
      <c r="E75" s="8" t="n">
        <f aca="false">SUMIFS(Detalle!$I$2:$I$1370,Detalle!$A$2:$A$1370,"5dc9e0d5-object_0",Detalle!$B$2:$B$1370,$A75,Detalle!$C$2:$C$1370,$B75)</f>
        <v>16.9622558865006</v>
      </c>
      <c r="F75" s="8" t="n">
        <f aca="false">SUMIFS(Detalle!$I$2:$I$1370,Detalle!$A$2:$A$1370,"a501b501-object_3",Detalle!$B$2:$B$1370,$A75,Detalle!$C$2:$C$1370,$B75)</f>
        <v>10.9087409125909</v>
      </c>
      <c r="G75" s="8" t="n">
        <f aca="false">SUMIFS(Detalle!$I$2:$I$1370,Detalle!$A$2:$A$1370,"2b65e967-object_0-1",Detalle!$B$2:$B$1370,$A75,Detalle!$C$2:$C$1370,$B75)</f>
        <v>20.14759093506</v>
      </c>
      <c r="H75" s="8" t="n">
        <f aca="false">SUMIFS(Detalle!$I$2:$I$1370,Detalle!$A$2:$A$1370,"5ed925a3-object_2",Detalle!$B$2:$B$1370,$A75,Detalle!$C$2:$C$1370,$B75)</f>
        <v>15.4906369286728</v>
      </c>
      <c r="I75" s="8" t="n">
        <f aca="false">SUMIFS(Detalle!$I$2:$I$1370,Detalle!$A$2:$A$1370,"70ef0058-object_0",Detalle!$B$2:$B$1370,$A75,Detalle!$C$2:$C$1370,$B75)</f>
        <v>15.4874460867216</v>
      </c>
      <c r="J75" s="8" t="n">
        <f aca="false">SUMIFS(Detalle!$I$2:$I$1370,Detalle!$A$2:$A$1370,"80c13944-object_3",Detalle!$B$2:$B$1370,$A75,Detalle!$C$2:$C$1370,$B75)</f>
        <v>21.6416878026285</v>
      </c>
      <c r="K75" s="8" t="n">
        <f aca="false">SUMIFS(Detalle!$I$2:$I$1370,Detalle!$A$2:$A$1370,"fba550bc-object_1",Detalle!$B$2:$B$1370,$A75,Detalle!$C$2:$C$1370,$B75)</f>
        <v>13.8276879971982</v>
      </c>
      <c r="L75" s="7"/>
      <c r="M75" s="7"/>
    </row>
    <row r="76" customFormat="false" ht="15" hidden="false" customHeight="false" outlineLevel="0" collapsed="false">
      <c r="A76" s="7" t="s">
        <v>75</v>
      </c>
      <c r="B76" s="7" t="s">
        <v>97</v>
      </c>
      <c r="C76" s="8" t="n">
        <f aca="false">SUMIFS(Detalle!$I$2:$I$1370,Detalle!$A$2:$A$1370,"2a3facb9-object_2",Detalle!$B$2:$B$1370,$A76,Detalle!$C$2:$C$1370,$B76)</f>
        <v>50.3321062154219</v>
      </c>
      <c r="D76" s="8" t="n">
        <f aca="false">SUMIFS(Detalle!$I$2:$I$1370,Detalle!$A$2:$A$1370,"2f639739-object_1",Detalle!$B$2:$B$1370,$A76,Detalle!$C$2:$C$1370,$B76)</f>
        <v>86.027603211354</v>
      </c>
      <c r="E76" s="8" t="n">
        <f aca="false">SUMIFS(Detalle!$I$2:$I$1370,Detalle!$A$2:$A$1370,"5dc9e0d5-object_0",Detalle!$B$2:$B$1370,$A76,Detalle!$C$2:$C$1370,$B76)</f>
        <v>48.9584312636212</v>
      </c>
      <c r="F76" s="8" t="n">
        <f aca="false">SUMIFS(Detalle!$I$2:$I$1370,Detalle!$A$2:$A$1370,"a501b501-object_3",Detalle!$B$2:$B$1370,$A76,Detalle!$C$2:$C$1370,$B76)</f>
        <v>35.5476945230548</v>
      </c>
      <c r="G76" s="8" t="n">
        <f aca="false">SUMIFS(Detalle!$I$2:$I$1370,Detalle!$A$2:$A$1370,"2b65e967-object_0-1",Detalle!$B$2:$B$1370,$A76,Detalle!$C$2:$C$1370,$B76)</f>
        <v>59.1563511712055</v>
      </c>
      <c r="H76" s="8" t="n">
        <f aca="false">SUMIFS(Detalle!$I$2:$I$1370,Detalle!$A$2:$A$1370,"5ed925a3-object_2",Detalle!$B$2:$B$1370,$A76,Detalle!$C$2:$C$1370,$B76)</f>
        <v>47.4696224793653</v>
      </c>
      <c r="I76" s="8" t="n">
        <f aca="false">SUMIFS(Detalle!$I$2:$I$1370,Detalle!$A$2:$A$1370,"70ef0058-object_0",Detalle!$B$2:$B$1370,$A76,Detalle!$C$2:$C$1370,$B76)</f>
        <v>46.362517387345</v>
      </c>
      <c r="J76" s="8" t="n">
        <f aca="false">SUMIFS(Detalle!$I$2:$I$1370,Detalle!$A$2:$A$1370,"80c13944-object_3",Detalle!$B$2:$B$1370,$A76,Detalle!$C$2:$C$1370,$B76)</f>
        <v>62.0393780513479</v>
      </c>
      <c r="K76" s="8" t="n">
        <f aca="false">SUMIFS(Detalle!$I$2:$I$1370,Detalle!$A$2:$A$1370,"fba550bc-object_1",Detalle!$B$2:$B$1370,$A76,Detalle!$C$2:$C$1370,$B76)</f>
        <v>40.17311252314</v>
      </c>
      <c r="L76" s="7"/>
      <c r="M76" s="7"/>
    </row>
    <row r="77" customFormat="false" ht="15" hidden="false" customHeight="false" outlineLevel="0" collapsed="false">
      <c r="A77" s="7" t="s">
        <v>75</v>
      </c>
      <c r="B77" s="7" t="s">
        <v>98</v>
      </c>
      <c r="C77" s="8" t="n">
        <f aca="false">SUMIFS(Detalle!$I$2:$I$1370,Detalle!$A$2:$A$1370,"2a3facb9-object_2",Detalle!$B$2:$B$1370,$A77,Detalle!$C$2:$C$1370,$B77)</f>
        <v>14.7819948335547</v>
      </c>
      <c r="D77" s="7"/>
      <c r="E77" s="8" t="n">
        <f aca="false">SUMIFS(Detalle!$I$2:$I$1370,Detalle!$A$2:$A$1370,"5dc9e0d5-object_0",Detalle!$B$2:$B$1370,$A77,Detalle!$C$2:$C$1370,$B77)</f>
        <v>14.4889107303107</v>
      </c>
      <c r="F77" s="8" t="n">
        <f aca="false">SUMIFS(Detalle!$I$2:$I$1370,Detalle!$A$2:$A$1370,"a501b501-object_3",Detalle!$B$2:$B$1370,$A77,Detalle!$C$2:$C$1370,$B77)</f>
        <v>10.2142978570214</v>
      </c>
      <c r="G77" s="8" t="n">
        <f aca="false">SUMIFS(Detalle!$I$2:$I$1370,Detalle!$A$2:$A$1370,"2b65e967-object_0-1",Detalle!$B$2:$B$1370,$A77,Detalle!$C$2:$C$1370,$B77)</f>
        <v>15.622738525995</v>
      </c>
      <c r="H77" s="8" t="n">
        <f aca="false">SUMIFS(Detalle!$I$2:$I$1370,Detalle!$A$2:$A$1370,"5ed925a3-object_2",Detalle!$B$2:$B$1370,$A77,Detalle!$C$2:$C$1370,$B77)</f>
        <v>15.9282630853169</v>
      </c>
      <c r="I77" s="8" t="n">
        <f aca="false">SUMIFS(Detalle!$I$2:$I$1370,Detalle!$A$2:$A$1370,"70ef0058-object_0",Detalle!$B$2:$B$1370,$A77,Detalle!$C$2:$C$1370,$B77)</f>
        <v>14.2534699636742</v>
      </c>
      <c r="J77" s="8" t="n">
        <f aca="false">SUMIFS(Detalle!$I$2:$I$1370,Detalle!$A$2:$A$1370,"80c13944-object_3",Detalle!$B$2:$B$1370,$A77,Detalle!$C$2:$C$1370,$B77)</f>
        <v>16.8684023217812</v>
      </c>
      <c r="K77" s="8" t="n">
        <f aca="false">SUMIFS(Detalle!$I$2:$I$1370,Detalle!$A$2:$A$1370,"fba550bc-object_1",Detalle!$B$2:$B$1370,$A77,Detalle!$C$2:$C$1370,$B77)</f>
        <v>9.21338870265673</v>
      </c>
      <c r="L77" s="7"/>
      <c r="M77" s="7"/>
    </row>
    <row r="78" customFormat="false" ht="15" hidden="false" customHeight="false" outlineLevel="0" collapsed="false">
      <c r="A78" s="7" t="s">
        <v>75</v>
      </c>
      <c r="B78" s="7" t="s">
        <v>99</v>
      </c>
      <c r="C78" s="8" t="n">
        <f aca="false">SUMIFS(Detalle!$I$2:$I$1370,Detalle!$A$2:$A$1370,"2a3facb9-object_2",Detalle!$B$2:$B$1370,$A78,Detalle!$C$2:$C$1370,$B78)</f>
        <v>16.2484704602738</v>
      </c>
      <c r="D78" s="7"/>
      <c r="E78" s="8" t="n">
        <f aca="false">SUMIFS(Detalle!$I$2:$I$1370,Detalle!$A$2:$A$1370,"5dc9e0d5-object_0",Detalle!$B$2:$B$1370,$A78,Detalle!$C$2:$C$1370,$B78)</f>
        <v>16.8140784581856</v>
      </c>
      <c r="F78" s="8" t="n">
        <f aca="false">SUMIFS(Detalle!$I$2:$I$1370,Detalle!$A$2:$A$1370,"a501b501-object_3",Detalle!$B$2:$B$1370,$A78,Detalle!$C$2:$C$1370,$B78)</f>
        <v>11.2972870271297</v>
      </c>
      <c r="G78" s="8" t="n">
        <f aca="false">SUMIFS(Detalle!$I$2:$I$1370,Detalle!$A$2:$A$1370,"2b65e967-object_0-1",Detalle!$B$2:$B$1370,$A78,Detalle!$C$2:$C$1370,$B78)</f>
        <v>20.4684821938678</v>
      </c>
      <c r="H78" s="8" t="n">
        <f aca="false">SUMIFS(Detalle!$I$2:$I$1370,Detalle!$A$2:$A$1370,"5ed925a3-object_2",Detalle!$B$2:$B$1370,$A78,Detalle!$C$2:$C$1370,$B78)</f>
        <v>14.7682215160781</v>
      </c>
      <c r="I78" s="8" t="n">
        <f aca="false">SUMIFS(Detalle!$I$2:$I$1370,Detalle!$A$2:$A$1370,"70ef0058-object_0",Detalle!$B$2:$B$1370,$A78,Detalle!$C$2:$C$1370,$B78)</f>
        <v>15.3125218905423</v>
      </c>
      <c r="J78" s="8" t="n">
        <f aca="false">SUMIFS(Detalle!$I$2:$I$1370,Detalle!$A$2:$A$1370,"80c13944-object_3",Detalle!$B$2:$B$1370,$A78,Detalle!$C$2:$C$1370,$B78)</f>
        <v>22.7673908030997</v>
      </c>
      <c r="K78" s="8" t="n">
        <f aca="false">SUMIFS(Detalle!$I$2:$I$1370,Detalle!$A$2:$A$1370,"fba550bc-object_1",Detalle!$B$2:$B$1370,$A78,Detalle!$C$2:$C$1370,$B78)</f>
        <v>13.2259468654626</v>
      </c>
      <c r="L78" s="7"/>
      <c r="M78" s="7"/>
    </row>
    <row r="79" customFormat="false" ht="15" hidden="false" customHeight="false" outlineLevel="0" collapsed="false">
      <c r="A79" s="7" t="s">
        <v>75</v>
      </c>
      <c r="B79" s="7" t="s">
        <v>100</v>
      </c>
      <c r="C79" s="8" t="n">
        <f aca="false">SUMIFS(Detalle!$I$2:$I$1370,Detalle!$A$2:$A$1370,"2a3facb9-object_2",Detalle!$B$2:$B$1370,$A79,Detalle!$C$2:$C$1370,$B79)</f>
        <v>48.0598638317454</v>
      </c>
      <c r="D79" s="7"/>
      <c r="E79" s="8" t="n">
        <f aca="false">SUMIFS(Detalle!$I$2:$I$1370,Detalle!$A$2:$A$1370,"5dc9e0d5-object_0",Detalle!$B$2:$B$1370,$A79,Detalle!$C$2:$C$1370,$B79)</f>
        <v>48.7300756377933</v>
      </c>
      <c r="F79" s="8" t="n">
        <f aca="false">SUMIFS(Detalle!$I$2:$I$1370,Detalle!$A$2:$A$1370,"a501b501-object_3",Detalle!$B$2:$B$1370,$A79,Detalle!$C$2:$C$1370,$B79)</f>
        <v>36.5071849281507</v>
      </c>
      <c r="G79" s="8" t="n">
        <f aca="false">SUMIFS(Detalle!$I$2:$I$1370,Detalle!$A$2:$A$1370,"2b65e967-object_0-1",Detalle!$B$2:$B$1370,$A79,Detalle!$C$2:$C$1370,$B79)</f>
        <v>57.9622928965911</v>
      </c>
      <c r="H79" s="8" t="n">
        <f aca="false">SUMIFS(Detalle!$I$2:$I$1370,Detalle!$A$2:$A$1370,"5ed925a3-object_2",Detalle!$B$2:$B$1370,$A79,Detalle!$C$2:$C$1370,$B79)</f>
        <v>47.1516078102204</v>
      </c>
      <c r="I79" s="8" t="n">
        <f aca="false">SUMIFS(Detalle!$I$2:$I$1370,Detalle!$A$2:$A$1370,"70ef0058-object_0",Detalle!$B$2:$B$1370,$A79,Detalle!$C$2:$C$1370,$B79)</f>
        <v>46.9481331745539</v>
      </c>
      <c r="J79" s="8" t="n">
        <f aca="false">SUMIFS(Detalle!$I$2:$I$1370,Detalle!$A$2:$A$1370,"80c13944-object_3",Detalle!$B$2:$B$1370,$A79,Detalle!$C$2:$C$1370,$B79)</f>
        <v>64.277450852623</v>
      </c>
      <c r="K79" s="8" t="n">
        <f aca="false">SUMIFS(Detalle!$I$2:$I$1370,Detalle!$A$2:$A$1370,"fba550bc-object_1",Detalle!$B$2:$B$1370,$A79,Detalle!$C$2:$C$1370,$B79)</f>
        <v>38.5228398458998</v>
      </c>
      <c r="L79" s="7"/>
      <c r="M79" s="7"/>
    </row>
    <row r="80" customFormat="false" ht="15" hidden="false" customHeight="false" outlineLevel="0" collapsed="false">
      <c r="A80" s="7" t="s">
        <v>75</v>
      </c>
      <c r="B80" s="7" t="s">
        <v>101</v>
      </c>
      <c r="C80" s="8" t="n">
        <f aca="false">SUMIFS(Detalle!$I$2:$I$1370,Detalle!$A$2:$A$1370,"2a3facb9-object_2",Detalle!$B$2:$B$1370,$A80,Detalle!$C$2:$C$1370,$B80)</f>
        <v>4.47791710679063</v>
      </c>
      <c r="D80" s="7"/>
      <c r="E80" s="8" t="n">
        <f aca="false">SUMIFS(Detalle!$I$2:$I$1370,Detalle!$A$2:$A$1370,"5dc9e0d5-object_0",Detalle!$B$2:$B$1370,$A80,Detalle!$C$2:$C$1370,$B80)</f>
        <v>7.11048673133627</v>
      </c>
      <c r="F80" s="8" t="n">
        <f aca="false">SUMIFS(Detalle!$I$2:$I$1370,Detalle!$A$2:$A$1370,"a501b501-object_3",Detalle!$B$2:$B$1370,$A80,Detalle!$C$2:$C$1370,$B80)</f>
        <v>3.40571594284057</v>
      </c>
      <c r="G80" s="8" t="n">
        <f aca="false">SUMIFS(Detalle!$I$2:$I$1370,Detalle!$A$2:$A$1370,"2b65e967-object_0-1",Detalle!$B$2:$B$1370,$A80,Detalle!$C$2:$C$1370,$B80)</f>
        <v>3.27366215958865</v>
      </c>
      <c r="H80" s="8" t="n">
        <f aca="false">SUMIFS(Detalle!$I$2:$I$1370,Detalle!$A$2:$A$1370,"5ed925a3-object_2",Detalle!$B$2:$B$1370,$A80,Detalle!$C$2:$C$1370,$B80)</f>
        <v>3.17824809640866</v>
      </c>
      <c r="I80" s="8" t="n">
        <f aca="false">SUMIFS(Detalle!$I$2:$I$1370,Detalle!$A$2:$A$1370,"70ef0058-object_0",Detalle!$B$2:$B$1370,$A80,Detalle!$C$2:$C$1370,$B80)</f>
        <v>6.15276846561058</v>
      </c>
      <c r="J80" s="8" t="n">
        <f aca="false">SUMIFS(Detalle!$I$2:$I$1370,Detalle!$A$2:$A$1370,"80c13944-object_3",Detalle!$B$2:$B$1370,$A80,Detalle!$C$2:$C$1370,$B80)</f>
        <v>4.46281240288318</v>
      </c>
      <c r="K80" s="8" t="n">
        <f aca="false">SUMIFS(Detalle!$I$2:$I$1370,Detalle!$A$2:$A$1370,"fba550bc-object_1",Detalle!$B$2:$B$1370,$A80,Detalle!$C$2:$C$1370,$B80)</f>
        <v>0.408765697703507</v>
      </c>
      <c r="L80" s="7"/>
      <c r="M80" s="7"/>
    </row>
    <row r="81" customFormat="false" ht="15" hidden="false" customHeight="false" outlineLevel="0" collapsed="false">
      <c r="A81" s="5" t="s">
        <v>102</v>
      </c>
      <c r="B81" s="5" t="s">
        <v>103</v>
      </c>
      <c r="C81" s="6" t="n">
        <f aca="false">SUMIFS(Detalle!$I$2:$I$1370,Detalle!$A$2:$A$1370,"2a3facb9-object_2",Detalle!$B$2:$B$1370,$A81,Detalle!$C$2:$C$1370,$B81)</f>
        <v>21.3036384743299</v>
      </c>
      <c r="D81" s="6" t="n">
        <f aca="false">SUMIFS(Detalle!$I$2:$I$1370,Detalle!$A$2:$A$1370,"2f639739-object_1",Detalle!$B$2:$B$1370,$A81,Detalle!$C$2:$C$1370,$B81)</f>
        <v>20.0072165258442</v>
      </c>
      <c r="E81" s="6" t="n">
        <f aca="false">SUMIFS(Detalle!$I$2:$I$1370,Detalle!$A$2:$A$1370,"5dc9e0d5-object_0",Detalle!$B$2:$B$1370,$A81,Detalle!$C$2:$C$1370,$B81)</f>
        <v>25.1292679800009</v>
      </c>
      <c r="F81" s="6" t="n">
        <f aca="false">SUMIFS(Detalle!$I$2:$I$1370,Detalle!$A$2:$A$1370,"a501b501-object_3",Detalle!$B$2:$B$1370,$A81,Detalle!$C$2:$C$1370,$B81)</f>
        <v>15.2359476405236</v>
      </c>
      <c r="G81" s="6" t="n">
        <f aca="false">SUMIFS(Detalle!$I$2:$I$1370,Detalle!$A$2:$A$1370,"2b65e967-object_0-1",Detalle!$B$2:$B$1370,$A81,Detalle!$C$2:$C$1370,$B81)</f>
        <v>23.5612264330604</v>
      </c>
      <c r="H81" s="6" t="n">
        <f aca="false">SUMIFS(Detalle!$I$2:$I$1370,Detalle!$A$2:$A$1370,"5ed925a3-object_2",Detalle!$B$2:$B$1370,$A81,Detalle!$C$2:$C$1370,$B81)</f>
        <v>17.8078721745908</v>
      </c>
      <c r="I81" s="6" t="n">
        <f aca="false">SUMIFS(Detalle!$I$2:$I$1370,Detalle!$A$2:$A$1370,"70ef0058-object_0",Detalle!$B$2:$B$1370,$A81,Detalle!$C$2:$C$1370,$B81)</f>
        <v>21.6544746770207</v>
      </c>
      <c r="J81" s="6" t="n">
        <f aca="false">SUMIFS(Detalle!$I$2:$I$1370,Detalle!$A$2:$A$1370,"80c13944-object_3",Detalle!$B$2:$B$1370,$A81,Detalle!$C$2:$C$1370,$B81)</f>
        <v>23.1502441078285</v>
      </c>
      <c r="K81" s="6" t="n">
        <f aca="false">SUMIFS(Detalle!$I$2:$I$1370,Detalle!$A$2:$A$1370,"fba550bc-object_1",Detalle!$B$2:$B$1370,$A81,Detalle!$C$2:$C$1370,$B81)</f>
        <v>21.6740881573022</v>
      </c>
      <c r="L81" s="6" t="n">
        <f aca="false">SUMIFS(Detalle!$I$2:$I$1370,Detalle!$A$2:$A$1370,"38448021-object_5",Detalle!$B$2:$B$1370,$A81,Detalle!$C$2:$C$1370,$B81)</f>
        <v>19.6483597788376</v>
      </c>
      <c r="M81" s="5"/>
    </row>
    <row r="82" customFormat="false" ht="15" hidden="false" customHeight="false" outlineLevel="0" collapsed="false">
      <c r="A82" s="5" t="s">
        <v>102</v>
      </c>
      <c r="B82" s="5" t="s">
        <v>104</v>
      </c>
      <c r="C82" s="6" t="n">
        <f aca="false">SUMIFS(Detalle!$I$2:$I$1370,Detalle!$A$2:$A$1370,"2a3facb9-object_2",Detalle!$B$2:$B$1370,$A82,Detalle!$C$2:$C$1370,$B82)</f>
        <v>20.5743748496606</v>
      </c>
      <c r="D82" s="6" t="n">
        <f aca="false">SUMIFS(Detalle!$I$2:$I$1370,Detalle!$A$2:$A$1370,"2f639739-object_1",Detalle!$B$2:$B$1370,$A82,Detalle!$C$2:$C$1370,$B82)</f>
        <v>12.2650369345802</v>
      </c>
      <c r="E82" s="6" t="n">
        <f aca="false">SUMIFS(Detalle!$I$2:$I$1370,Detalle!$A$2:$A$1370,"5dc9e0d5-object_0",Detalle!$B$2:$B$1370,$A82,Detalle!$C$2:$C$1370,$B82)</f>
        <v>19.5644951070467</v>
      </c>
      <c r="F82" s="6" t="n">
        <f aca="false">SUMIFS(Detalle!$I$2:$I$1370,Detalle!$A$2:$A$1370,"a501b501-object_3",Detalle!$B$2:$B$1370,$A82,Detalle!$C$2:$C$1370,$B82)</f>
        <v>9.54455455445446</v>
      </c>
      <c r="G82" s="6" t="n">
        <f aca="false">SUMIFS(Detalle!$I$2:$I$1370,Detalle!$A$2:$A$1370,"2b65e967-object_0-1",Detalle!$B$2:$B$1370,$A82,Detalle!$C$2:$C$1370,$B82)</f>
        <v>21.6749190630356</v>
      </c>
      <c r="H82" s="6" t="n">
        <f aca="false">SUMIFS(Detalle!$I$2:$I$1370,Detalle!$A$2:$A$1370,"5ed925a3-object_2",Detalle!$B$2:$B$1370,$A82,Detalle!$C$2:$C$1370,$B82)</f>
        <v>19.547934528449</v>
      </c>
      <c r="I82" s="6" t="n">
        <f aca="false">SUMIFS(Detalle!$I$2:$I$1370,Detalle!$A$2:$A$1370,"70ef0058-object_0",Detalle!$B$2:$B$1370,$A82,Detalle!$C$2:$C$1370,$B82)</f>
        <v>22.120305416846</v>
      </c>
      <c r="J82" s="6" t="n">
        <f aca="false">SUMIFS(Detalle!$I$2:$I$1370,Detalle!$A$2:$A$1370,"80c13944-object_3",Detalle!$B$2:$B$1370,$A82,Detalle!$C$2:$C$1370,$B82)</f>
        <v>20.7397920822849</v>
      </c>
      <c r="K82" s="6" t="n">
        <f aca="false">SUMIFS(Detalle!$I$2:$I$1370,Detalle!$A$2:$A$1370,"fba550bc-object_1",Detalle!$B$2:$B$1370,$A82,Detalle!$C$2:$C$1370,$B82)</f>
        <v>10.4891179266523</v>
      </c>
      <c r="L82" s="6" t="n">
        <f aca="false">SUMIFS(Detalle!$I$2:$I$1370,Detalle!$A$2:$A$1370,"38448021-object_5",Detalle!$B$2:$B$1370,$A82,Detalle!$C$2:$C$1370,$B82)</f>
        <v>17.5862603357429</v>
      </c>
      <c r="M82" s="5"/>
    </row>
    <row r="83" customFormat="false" ht="15" hidden="false" customHeight="false" outlineLevel="0" collapsed="false">
      <c r="A83" s="5" t="s">
        <v>102</v>
      </c>
      <c r="B83" s="5" t="s">
        <v>105</v>
      </c>
      <c r="C83" s="6" t="n">
        <f aca="false">SUMIFS(Detalle!$I$2:$I$1370,Detalle!$A$2:$A$1370,"2a3facb9-object_2",Detalle!$B$2:$B$1370,$A83,Detalle!$C$2:$C$1370,$B83)</f>
        <v>8.87336979825763</v>
      </c>
      <c r="D83" s="6" t="n">
        <f aca="false">SUMIFS(Detalle!$I$2:$I$1370,Detalle!$A$2:$A$1370,"2f639739-object_1",Detalle!$B$2:$B$1370,$A83,Detalle!$C$2:$C$1370,$B83)</f>
        <v>9.61321426065691</v>
      </c>
      <c r="E83" s="6" t="n">
        <f aca="false">SUMIFS(Detalle!$I$2:$I$1370,Detalle!$A$2:$A$1370,"5dc9e0d5-object_0",Detalle!$B$2:$B$1370,$A83,Detalle!$C$2:$C$1370,$B83)</f>
        <v>11.6806439895731</v>
      </c>
      <c r="F83" s="6" t="n">
        <f aca="false">SUMIFS(Detalle!$I$2:$I$1370,Detalle!$A$2:$A$1370,"a501b501-object_3",Detalle!$B$2:$B$1370,$A83,Detalle!$C$2:$C$1370,$B83)</f>
        <v>5.92794072059279</v>
      </c>
      <c r="G83" s="6" t="n">
        <f aca="false">SUMIFS(Detalle!$I$2:$I$1370,Detalle!$A$2:$A$1370,"2b65e967-object_0-1",Detalle!$B$2:$B$1370,$A83,Detalle!$C$2:$C$1370,$B83)</f>
        <v>9.84193486954866</v>
      </c>
      <c r="H83" s="6" t="n">
        <f aca="false">SUMIFS(Detalle!$I$2:$I$1370,Detalle!$A$2:$A$1370,"5ed925a3-object_2",Detalle!$B$2:$B$1370,$A83,Detalle!$C$2:$C$1370,$B83)</f>
        <v>7.84689329895877</v>
      </c>
      <c r="I83" s="6" t="n">
        <f aca="false">SUMIFS(Detalle!$I$2:$I$1370,Detalle!$A$2:$A$1370,"70ef0058-object_0",Detalle!$B$2:$B$1370,$A83,Detalle!$C$2:$C$1370,$B83)</f>
        <v>10.5011558206326</v>
      </c>
      <c r="J83" s="6" t="n">
        <f aca="false">SUMIFS(Detalle!$I$2:$I$1370,Detalle!$A$2:$A$1370,"80c13944-object_3",Detalle!$B$2:$B$1370,$A83,Detalle!$C$2:$C$1370,$B83)</f>
        <v>8.9999097753406</v>
      </c>
      <c r="K83" s="6" t="n">
        <f aca="false">SUMIFS(Detalle!$I$2:$I$1370,Detalle!$A$2:$A$1370,"fba550bc-object_1",Detalle!$B$2:$B$1370,$A83,Detalle!$C$2:$C$1370,$B83)</f>
        <v>11.9150447791064</v>
      </c>
      <c r="L83" s="6" t="n">
        <f aca="false">SUMIFS(Detalle!$I$2:$I$1370,Detalle!$A$2:$A$1370,"38448021-object_5",Detalle!$B$2:$B$1370,$A83,Detalle!$C$2:$C$1370,$B83)</f>
        <v>21.8909285421478</v>
      </c>
      <c r="M83" s="5"/>
    </row>
    <row r="84" customFormat="false" ht="15" hidden="false" customHeight="false" outlineLevel="0" collapsed="false">
      <c r="A84" s="5" t="s">
        <v>102</v>
      </c>
      <c r="B84" s="5" t="s">
        <v>106</v>
      </c>
      <c r="C84" s="6" t="n">
        <f aca="false">SUMIFS(Detalle!$I$2:$I$1370,Detalle!$A$2:$A$1370,"2a3facb9-object_2",Detalle!$B$2:$B$1370,$A84,Detalle!$C$2:$C$1370,$B84)</f>
        <v>-11.4555988997772</v>
      </c>
      <c r="D84" s="6" t="n">
        <f aca="false">SUMIFS(Detalle!$I$2:$I$1370,Detalle!$A$2:$A$1370,"2f639739-object_1",Detalle!$B$2:$B$1370,$A84,Detalle!$C$2:$C$1370,$B84)</f>
        <v>-5.08750037586072</v>
      </c>
      <c r="E84" s="6" t="n">
        <f aca="false">SUMIFS(Detalle!$I$2:$I$1370,Detalle!$A$2:$A$1370,"5dc9e0d5-object_0",Detalle!$B$2:$B$1370,$A84,Detalle!$C$2:$C$1370,$B84)</f>
        <v>-12.9107196273664</v>
      </c>
      <c r="F84" s="6" t="n">
        <f aca="false">SUMIFS(Detalle!$I$2:$I$1370,Detalle!$A$2:$A$1370,"a501b501-object_3",Detalle!$B$2:$B$1370,$A84,Detalle!$C$2:$C$1370,$B84)</f>
        <v>-6.77913220867791</v>
      </c>
      <c r="G84" s="6" t="n">
        <f aca="false">SUMIFS(Detalle!$I$2:$I$1370,Detalle!$A$2:$A$1370,"2b65e967-object_0-1",Detalle!$B$2:$B$1370,$A84,Detalle!$C$2:$C$1370,$B84)</f>
        <v>-12.368120358027</v>
      </c>
      <c r="H84" s="6" t="n">
        <f aca="false">SUMIFS(Detalle!$I$2:$I$1370,Detalle!$A$2:$A$1370,"5ed925a3-object_2",Detalle!$B$2:$B$1370,$A84,Detalle!$C$2:$C$1370,$B84)</f>
        <v>-10.5362531726522</v>
      </c>
      <c r="I84" s="6" t="n">
        <f aca="false">SUMIFS(Detalle!$I$2:$I$1370,Detalle!$A$2:$A$1370,"70ef0058-object_0",Detalle!$B$2:$B$1370,$A84,Detalle!$C$2:$C$1370,$B84)</f>
        <v>-12.1467742096889</v>
      </c>
      <c r="J84" s="6" t="n">
        <f aca="false">SUMIFS(Detalle!$I$2:$I$1370,Detalle!$A$2:$A$1370,"80c13944-object_3",Detalle!$B$2:$B$1370,$A84,Detalle!$C$2:$C$1370,$B84)</f>
        <v>-11.1827450351375</v>
      </c>
      <c r="K84" s="6" t="n">
        <f aca="false">SUMIFS(Detalle!$I$2:$I$1370,Detalle!$A$2:$A$1370,"fba550bc-object_1",Detalle!$B$2:$B$1370,$A84,Detalle!$C$2:$C$1370,$B84)</f>
        <v>-4.97173162555661</v>
      </c>
      <c r="L84" s="6" t="n">
        <f aca="false">SUMIFS(Detalle!$I$2:$I$1370,Detalle!$A$2:$A$1370,"38448021-object_5",Detalle!$B$2:$B$1370,$A84,Detalle!$C$2:$C$1370,$B84)</f>
        <v>-3.52865012947799</v>
      </c>
      <c r="M84" s="5"/>
    </row>
    <row r="85" customFormat="false" ht="15" hidden="false" customHeight="false" outlineLevel="0" collapsed="false">
      <c r="A85" s="5" t="s">
        <v>102</v>
      </c>
      <c r="B85" s="5" t="s">
        <v>107</v>
      </c>
      <c r="C85" s="6" t="n">
        <f aca="false">SUMIFS(Detalle!$I$2:$I$1370,Detalle!$A$2:$A$1370,"2a3facb9-object_2",Detalle!$B$2:$B$1370,$A85,Detalle!$C$2:$C$1370,$B85)</f>
        <v>20.935032473305</v>
      </c>
      <c r="D85" s="6" t="n">
        <f aca="false">SUMIFS(Detalle!$I$2:$I$1370,Detalle!$A$2:$A$1370,"2f639739-object_1",Detalle!$B$2:$B$1370,$A85,Detalle!$C$2:$C$1370,$B85)</f>
        <v>20.0005512623909</v>
      </c>
      <c r="E85" s="6" t="n">
        <f aca="false">SUMIFS(Detalle!$I$2:$I$1370,Detalle!$A$2:$A$1370,"5dc9e0d5-object_0",Detalle!$B$2:$B$1370,$A85,Detalle!$C$2:$C$1370,$B85)</f>
        <v>24.917150976454</v>
      </c>
      <c r="F85" s="6" t="n">
        <f aca="false">SUMIFS(Detalle!$I$2:$I$1370,Detalle!$A$2:$A$1370,"a501b501-object_3",Detalle!$B$2:$B$1370,$A85,Detalle!$C$2:$C$1370,$B85)</f>
        <v>15.360396396036</v>
      </c>
      <c r="G85" s="6" t="n">
        <f aca="false">SUMIFS(Detalle!$I$2:$I$1370,Detalle!$A$2:$A$1370,"2b65e967-object_0-1",Detalle!$B$2:$B$1370,$A85,Detalle!$C$2:$C$1370,$B85)</f>
        <v>24.1611121691107</v>
      </c>
      <c r="H85" s="6" t="n">
        <f aca="false">SUMIFS(Detalle!$I$2:$I$1370,Detalle!$A$2:$A$1370,"5ed925a3-object_2",Detalle!$B$2:$B$1370,$A85,Detalle!$C$2:$C$1370,$B85)</f>
        <v>16.9050902332274</v>
      </c>
      <c r="I85" s="6" t="n">
        <f aca="false">SUMIFS(Detalle!$I$2:$I$1370,Detalle!$A$2:$A$1370,"70ef0058-object_0",Detalle!$B$2:$B$1370,$A85,Detalle!$C$2:$C$1370,$B85)</f>
        <v>24.6319887119855</v>
      </c>
      <c r="J85" s="6" t="n">
        <f aca="false">SUMIFS(Detalle!$I$2:$I$1370,Detalle!$A$2:$A$1370,"80c13944-object_3",Detalle!$B$2:$B$1370,$A85,Detalle!$C$2:$C$1370,$B85)</f>
        <v>24.3130895930868</v>
      </c>
      <c r="K85" s="6" t="n">
        <f aca="false">SUMIFS(Detalle!$I$2:$I$1370,Detalle!$A$2:$A$1370,"fba550bc-object_1",Detalle!$B$2:$B$1370,$A85,Detalle!$C$2:$C$1370,$B85)</f>
        <v>21.1797668484515</v>
      </c>
      <c r="L85" s="6" t="n">
        <f aca="false">SUMIFS(Detalle!$I$2:$I$1370,Detalle!$A$2:$A$1370,"38448021-object_5",Detalle!$B$2:$B$1370,$A85,Detalle!$C$2:$C$1370,$B85)</f>
        <v>19.5201315776318</v>
      </c>
      <c r="M85" s="5"/>
    </row>
    <row r="86" customFormat="false" ht="15" hidden="false" customHeight="false" outlineLevel="0" collapsed="false">
      <c r="A86" s="5" t="s">
        <v>102</v>
      </c>
      <c r="B86" s="5" t="s">
        <v>108</v>
      </c>
      <c r="C86" s="6" t="n">
        <f aca="false">SUMIFS(Detalle!$I$2:$I$1370,Detalle!$A$2:$A$1370,"2a3facb9-object_2",Detalle!$B$2:$B$1370,$A86,Detalle!$C$2:$C$1370,$B86)</f>
        <v>18.8932930336656</v>
      </c>
      <c r="D86" s="6" t="n">
        <f aca="false">SUMIFS(Detalle!$I$2:$I$1370,Detalle!$A$2:$A$1370,"2f639739-object_1",Detalle!$B$2:$B$1370,$A86,Detalle!$C$2:$C$1370,$B86)</f>
        <v>12.2117148269537</v>
      </c>
      <c r="E86" s="6" t="n">
        <f aca="false">SUMIFS(Detalle!$I$2:$I$1370,Detalle!$A$2:$A$1370,"5dc9e0d5-object_0",Detalle!$B$2:$B$1370,$A86,Detalle!$C$2:$C$1370,$B86)</f>
        <v>19.6071214905346</v>
      </c>
      <c r="F86" s="6" t="n">
        <f aca="false">SUMIFS(Detalle!$I$2:$I$1370,Detalle!$A$2:$A$1370,"a501b501-object_3",Detalle!$B$2:$B$1370,$A86,Detalle!$C$2:$C$1370,$B86)</f>
        <v>10.1924480755192</v>
      </c>
      <c r="G86" s="6" t="n">
        <f aca="false">SUMIFS(Detalle!$I$2:$I$1370,Detalle!$A$2:$A$1370,"2b65e967-object_0-1",Detalle!$B$2:$B$1370,$A86,Detalle!$C$2:$C$1370,$B86)</f>
        <v>19.4629594362978</v>
      </c>
      <c r="H86" s="6" t="n">
        <f aca="false">SUMIFS(Detalle!$I$2:$I$1370,Detalle!$A$2:$A$1370,"5ed925a3-object_2",Detalle!$B$2:$B$1370,$A86,Detalle!$C$2:$C$1370,$B86)</f>
        <v>18.6157243639707</v>
      </c>
      <c r="I86" s="6" t="n">
        <f aca="false">SUMIFS(Detalle!$I$2:$I$1370,Detalle!$A$2:$A$1370,"70ef0058-object_0",Detalle!$B$2:$B$1370,$A86,Detalle!$C$2:$C$1370,$B86)</f>
        <v>17.6578370643157</v>
      </c>
      <c r="J86" s="6" t="n">
        <f aca="false">SUMIFS(Detalle!$I$2:$I$1370,Detalle!$A$2:$A$1370,"80c13944-object_3",Detalle!$B$2:$B$1370,$A86,Detalle!$C$2:$C$1370,$B86)</f>
        <v>18.1826748604024</v>
      </c>
      <c r="K86" s="6" t="n">
        <f aca="false">SUMIFS(Detalle!$I$2:$I$1370,Detalle!$A$2:$A$1370,"fba550bc-object_1",Detalle!$B$2:$B$1370,$A86,Detalle!$C$2:$C$1370,$B86)</f>
        <v>11.4007604943213</v>
      </c>
      <c r="L86" s="6" t="n">
        <f aca="false">SUMIFS(Detalle!$I$2:$I$1370,Detalle!$A$2:$A$1370,"38448021-object_5",Detalle!$B$2:$B$1370,$A86,Detalle!$C$2:$C$1370,$B86)</f>
        <v>14.3710569203235</v>
      </c>
      <c r="M86" s="5"/>
    </row>
    <row r="87" customFormat="false" ht="15" hidden="false" customHeight="false" outlineLevel="0" collapsed="false">
      <c r="A87" s="5" t="s">
        <v>102</v>
      </c>
      <c r="B87" s="5" t="s">
        <v>109</v>
      </c>
      <c r="C87" s="6" t="n">
        <f aca="false">SUMIFS(Detalle!$I$2:$I$1370,Detalle!$A$2:$A$1370,"2a3facb9-object_2",Detalle!$B$2:$B$1370,$A87,Detalle!$C$2:$C$1370,$B87)</f>
        <v>11.8053275045233</v>
      </c>
      <c r="D87" s="6" t="n">
        <f aca="false">SUMIFS(Detalle!$I$2:$I$1370,Detalle!$A$2:$A$1370,"2f639739-object_1",Detalle!$B$2:$B$1370,$A87,Detalle!$C$2:$C$1370,$B87)</f>
        <v>9.5265658357639</v>
      </c>
      <c r="E87" s="6" t="n">
        <f aca="false">SUMIFS(Detalle!$I$2:$I$1370,Detalle!$A$2:$A$1370,"5dc9e0d5-object_0",Detalle!$B$2:$B$1370,$A87,Detalle!$C$2:$C$1370,$B87)</f>
        <v>11.6024956198453</v>
      </c>
      <c r="F87" s="6" t="n">
        <f aca="false">SUMIFS(Detalle!$I$2:$I$1370,Detalle!$A$2:$A$1370,"a501b501-object_3",Detalle!$B$2:$B$1370,$A87,Detalle!$C$2:$C$1370,$B87)</f>
        <v>6.04478955210448</v>
      </c>
      <c r="G87" s="6" t="n">
        <f aca="false">SUMIFS(Detalle!$I$2:$I$1370,Detalle!$A$2:$A$1370,"2b65e967-object_0-1",Detalle!$B$2:$B$1370,$A87,Detalle!$C$2:$C$1370,$B87)</f>
        <v>11.1578746905351</v>
      </c>
      <c r="H87" s="6" t="n">
        <f aca="false">SUMIFS(Detalle!$I$2:$I$1370,Detalle!$A$2:$A$1370,"5ed925a3-object_2",Detalle!$B$2:$B$1370,$A87,Detalle!$C$2:$C$1370,$B87)</f>
        <v>7.83645102624058</v>
      </c>
      <c r="I87" s="6" t="n">
        <f aca="false">SUMIFS(Detalle!$I$2:$I$1370,Detalle!$A$2:$A$1370,"70ef0058-object_0",Detalle!$B$2:$B$1370,$A87,Detalle!$C$2:$C$1370,$B87)</f>
        <v>10.8472015130743</v>
      </c>
      <c r="J87" s="6" t="n">
        <f aca="false">SUMIFS(Detalle!$I$2:$I$1370,Detalle!$A$2:$A$1370,"80c13944-object_3",Detalle!$B$2:$B$1370,$A87,Detalle!$C$2:$C$1370,$B87)</f>
        <v>11.3998857154314</v>
      </c>
      <c r="K87" s="6" t="n">
        <f aca="false">SUMIFS(Detalle!$I$2:$I$1370,Detalle!$A$2:$A$1370,"fba550bc-object_1",Detalle!$B$2:$B$1370,$A87,Detalle!$C$2:$C$1370,$B87)</f>
        <v>12.2829339070396</v>
      </c>
      <c r="L87" s="6" t="n">
        <f aca="false">SUMIFS(Detalle!$I$2:$I$1370,Detalle!$A$2:$A$1370,"38448021-object_5",Detalle!$B$2:$B$1370,$A87,Detalle!$C$2:$C$1370,$B87)</f>
        <v>21.399862023456</v>
      </c>
      <c r="M87" s="5"/>
    </row>
    <row r="88" customFormat="false" ht="15" hidden="false" customHeight="false" outlineLevel="0" collapsed="false">
      <c r="A88" s="5" t="s">
        <v>102</v>
      </c>
      <c r="B88" s="5" t="s">
        <v>110</v>
      </c>
      <c r="C88" s="6" t="n">
        <f aca="false">SUMIFS(Detalle!$I$2:$I$1370,Detalle!$A$2:$A$1370,"2a3facb9-object_2",Detalle!$B$2:$B$1370,$A88,Detalle!$C$2:$C$1370,$B88)</f>
        <v>12.850539130071</v>
      </c>
      <c r="D88" s="6" t="n">
        <f aca="false">SUMIFS(Detalle!$I$2:$I$1370,Detalle!$A$2:$A$1370,"2f639739-object_1",Detalle!$B$2:$B$1370,$A88,Detalle!$C$2:$C$1370,$B88)</f>
        <v>4.84850307203496</v>
      </c>
      <c r="E88" s="6" t="n">
        <f aca="false">SUMIFS(Detalle!$I$2:$I$1370,Detalle!$A$2:$A$1370,"5dc9e0d5-object_0",Detalle!$B$2:$B$1370,$A88,Detalle!$C$2:$C$1370,$B88)</f>
        <v>12.9239135079697</v>
      </c>
      <c r="F88" s="6" t="n">
        <f aca="false">SUMIFS(Detalle!$I$2:$I$1370,Detalle!$A$2:$A$1370,"a501b501-object_3",Detalle!$B$2:$B$1370,$A88,Detalle!$C$2:$C$1370,$B88)</f>
        <v>7.39187608123919</v>
      </c>
      <c r="G88" s="6" t="n">
        <f aca="false">SUMIFS(Detalle!$I$2:$I$1370,Detalle!$A$2:$A$1370,"2b65e967-object_0-1",Detalle!$B$2:$B$1370,$A88,Detalle!$C$2:$C$1370,$B88)</f>
        <v>11.3587888021329</v>
      </c>
      <c r="H88" s="6" t="n">
        <f aca="false">SUMIFS(Detalle!$I$2:$I$1370,Detalle!$A$2:$A$1370,"5ed925a3-object_2",Detalle!$B$2:$B$1370,$A88,Detalle!$C$2:$C$1370,$B88)</f>
        <v>11.75989767572</v>
      </c>
      <c r="I88" s="6" t="n">
        <f aca="false">SUMIFS(Detalle!$I$2:$I$1370,Detalle!$A$2:$A$1370,"70ef0058-object_0",Detalle!$B$2:$B$1370,$A88,Detalle!$C$2:$C$1370,$B88)</f>
        <v>12.7466501215863</v>
      </c>
      <c r="J88" s="6" t="n">
        <f aca="false">SUMIFS(Detalle!$I$2:$I$1370,Detalle!$A$2:$A$1370,"80c13944-object_3",Detalle!$B$2:$B$1370,$A88,Detalle!$C$2:$C$1370,$B88)</f>
        <v>12.4036851760885</v>
      </c>
      <c r="K88" s="6" t="n">
        <f aca="false">SUMIFS(Detalle!$I$2:$I$1370,Detalle!$A$2:$A$1370,"fba550bc-object_1",Detalle!$B$2:$B$1370,$A88,Detalle!$C$2:$C$1370,$B88)</f>
        <v>5.45274428378446</v>
      </c>
      <c r="L88" s="6" t="n">
        <f aca="false">SUMIFS(Detalle!$I$2:$I$1370,Detalle!$A$2:$A$1370,"38448021-object_5",Detalle!$B$2:$B$1370,$A88,Detalle!$C$2:$C$1370,$B88)</f>
        <v>3.49635561954468</v>
      </c>
      <c r="M88" s="5"/>
    </row>
    <row r="89" customFormat="false" ht="15" hidden="false" customHeight="false" outlineLevel="0" collapsed="false">
      <c r="A89" s="5" t="s">
        <v>102</v>
      </c>
      <c r="B89" s="5" t="s">
        <v>111</v>
      </c>
      <c r="C89" s="6" t="n">
        <f aca="false">SUMIFS(Detalle!$I$2:$I$1370,Detalle!$A$2:$A$1370,"2a3facb9-object_2",Detalle!$B$2:$B$1370,$A89,Detalle!$C$2:$C$1370,$B89)</f>
        <v>44.0399719715113</v>
      </c>
      <c r="D89" s="6" t="n">
        <f aca="false">SUMIFS(Detalle!$I$2:$I$1370,Detalle!$A$2:$A$1370,"2f639739-object_1",Detalle!$B$2:$B$1370,$A89,Detalle!$C$2:$C$1370,$B89)</f>
        <v>22.175331509156</v>
      </c>
      <c r="E89" s="6" t="n">
        <f aca="false">SUMIFS(Detalle!$I$2:$I$1370,Detalle!$A$2:$A$1370,"5dc9e0d5-object_0",Detalle!$B$2:$B$1370,$A89,Detalle!$C$2:$C$1370,$B89)</f>
        <v>45.4204414341267</v>
      </c>
      <c r="F89" s="6" t="n">
        <f aca="false">SUMIFS(Detalle!$I$2:$I$1370,Detalle!$A$2:$A$1370,"a501b501-object_3",Detalle!$B$2:$B$1370,$A89,Detalle!$C$2:$C$1370,$B89)</f>
        <v>24.0395096049039</v>
      </c>
      <c r="G89" s="6" t="n">
        <f aca="false">SUMIFS(Detalle!$I$2:$I$1370,Detalle!$A$2:$A$1370,"2b65e967-object_0-1",Detalle!$B$2:$B$1370,$A89,Detalle!$C$2:$C$1370,$B89)</f>
        <v>44.2963245096172</v>
      </c>
      <c r="H89" s="6" t="n">
        <f aca="false">SUMIFS(Detalle!$I$2:$I$1370,Detalle!$A$2:$A$1370,"5ed925a3-object_2",Detalle!$B$2:$B$1370,$A89,Detalle!$C$2:$C$1370,$B89)</f>
        <v>41.377980294582</v>
      </c>
      <c r="I89" s="6" t="n">
        <f aca="false">SUMIFS(Detalle!$I$2:$I$1370,Detalle!$A$2:$A$1370,"70ef0058-object_0",Detalle!$B$2:$B$1370,$A89,Detalle!$C$2:$C$1370,$B89)</f>
        <v>44.782495571856</v>
      </c>
      <c r="J89" s="6" t="n">
        <f aca="false">SUMIFS(Detalle!$I$2:$I$1370,Detalle!$A$2:$A$1370,"80c13944-object_3",Detalle!$B$2:$B$1370,$A89,Detalle!$C$2:$C$1370,$B89)</f>
        <v>43.048139868272</v>
      </c>
      <c r="K89" s="6" t="n">
        <f aca="false">SUMIFS(Detalle!$I$2:$I$1370,Detalle!$A$2:$A$1370,"fba550bc-object_1",Detalle!$B$2:$B$1370,$A89,Detalle!$C$2:$C$1370,$B89)</f>
        <v>21.3689398108771</v>
      </c>
      <c r="L89" s="6" t="n">
        <f aca="false">SUMIFS(Detalle!$I$2:$I$1370,Detalle!$A$2:$A$1370,"38448021-object_5",Detalle!$B$2:$B$1370,$A89,Detalle!$C$2:$C$1370,$B89)</f>
        <v>23.0031894577922</v>
      </c>
      <c r="M89" s="5"/>
    </row>
    <row r="90" customFormat="false" ht="15" hidden="false" customHeight="false" outlineLevel="0" collapsed="false">
      <c r="A90" s="5" t="s">
        <v>102</v>
      </c>
      <c r="B90" s="5" t="s">
        <v>112</v>
      </c>
      <c r="C90" s="6" t="n">
        <f aca="false">SUMIFS(Detalle!$I$2:$I$1370,Detalle!$A$2:$A$1370,"2a3facb9-object_2",Detalle!$B$2:$B$1370,$A90,Detalle!$C$2:$C$1370,$B90)</f>
        <v>11.8053275045233</v>
      </c>
      <c r="D90" s="6" t="n">
        <f aca="false">SUMIFS(Detalle!$I$2:$I$1370,Detalle!$A$2:$A$1370,"2f639739-object_1",Detalle!$B$2:$B$1370,$A90,Detalle!$C$2:$C$1370,$B90)</f>
        <v>9.61416644115024</v>
      </c>
      <c r="E90" s="6" t="n">
        <f aca="false">SUMIFS(Detalle!$I$2:$I$1370,Detalle!$A$2:$A$1370,"5dc9e0d5-object_0",Detalle!$B$2:$B$1370,$A90,Detalle!$C$2:$C$1370,$B90)</f>
        <v>11.6999273535319</v>
      </c>
      <c r="F90" s="6" t="n">
        <f aca="false">SUMIFS(Detalle!$I$2:$I$1370,Detalle!$A$2:$A$1370,"a501b501-object_3",Detalle!$B$2:$B$1370,$A90,Detalle!$C$2:$C$1370,$B90)</f>
        <v>6.06758932410676</v>
      </c>
      <c r="G90" s="6" t="n">
        <f aca="false">SUMIFS(Detalle!$I$2:$I$1370,Detalle!$A$2:$A$1370,"2b65e967-object_0-1",Detalle!$B$2:$B$1370,$A90,Detalle!$C$2:$C$1370,$B90)</f>
        <v>11.1578746905351</v>
      </c>
      <c r="H90" s="6" t="n">
        <f aca="false">SUMIFS(Detalle!$I$2:$I$1370,Detalle!$A$2:$A$1370,"5ed925a3-object_2",Detalle!$B$2:$B$1370,$A90,Detalle!$C$2:$C$1370,$B90)</f>
        <v>7.85163978655795</v>
      </c>
      <c r="I90" s="6" t="n">
        <f aca="false">SUMIFS(Detalle!$I$2:$I$1370,Detalle!$A$2:$A$1370,"70ef0058-object_0",Detalle!$B$2:$B$1370,$A90,Detalle!$C$2:$C$1370,$B90)</f>
        <v>10.8671656876382</v>
      </c>
      <c r="J90" s="6" t="n">
        <f aca="false">SUMIFS(Detalle!$I$2:$I$1370,Detalle!$A$2:$A$1370,"80c13944-object_3",Detalle!$B$2:$B$1370,$A90,Detalle!$C$2:$C$1370,$B90)</f>
        <v>11.4322663431946</v>
      </c>
      <c r="K90" s="6" t="n">
        <f aca="false">SUMIFS(Detalle!$I$2:$I$1370,Detalle!$A$2:$A$1370,"fba550bc-object_1",Detalle!$B$2:$B$1370,$A90,Detalle!$C$2:$C$1370,$B90)</f>
        <v>12.2829339070396</v>
      </c>
      <c r="L90" s="6" t="n">
        <f aca="false">SUMIFS(Detalle!$I$2:$I$1370,Detalle!$A$2:$A$1370,"38448021-object_5",Detalle!$B$2:$B$1370,$A90,Detalle!$C$2:$C$1370,$B90)</f>
        <v>21.8909285421478</v>
      </c>
      <c r="M90" s="5"/>
    </row>
    <row r="91" customFormat="false" ht="15" hidden="false" customHeight="false" outlineLevel="0" collapsed="false">
      <c r="A91" s="7" t="s">
        <v>17</v>
      </c>
      <c r="B91" s="7" t="s">
        <v>113</v>
      </c>
      <c r="C91" s="8" t="n">
        <f aca="false">SUMIFS(Detalle!$I$2:$I$1370,Detalle!$A$2:$A$1370,"2a3facb9-object_2",Detalle!$B$2:$B$1370,$A91,Detalle!$C$2:$C$1370,$B91)</f>
        <v>1</v>
      </c>
      <c r="D91" s="8" t="n">
        <f aca="false">SUMIFS(Detalle!$I$2:$I$1370,Detalle!$A$2:$A$1370,"2f639739-object_1",Detalle!$B$2:$B$1370,$A91,Detalle!$C$2:$C$1370,$B91)</f>
        <v>1</v>
      </c>
      <c r="E91" s="8" t="n">
        <f aca="false">SUMIFS(Detalle!$I$2:$I$1370,Detalle!$A$2:$A$1370,"5dc9e0d5-object_0",Detalle!$B$2:$B$1370,$A91,Detalle!$C$2:$C$1370,$B91)</f>
        <v>1</v>
      </c>
      <c r="F91" s="8" t="n">
        <f aca="false">SUMIFS(Detalle!$I$2:$I$1370,Detalle!$A$2:$A$1370,"a501b501-object_3",Detalle!$B$2:$B$1370,$A91,Detalle!$C$2:$C$1370,$B91)</f>
        <v>1</v>
      </c>
      <c r="G91" s="8" t="n">
        <f aca="false">SUMIFS(Detalle!$I$2:$I$1370,Detalle!$A$2:$A$1370,"2b65e967-object_0-1",Detalle!$B$2:$B$1370,$A91,Detalle!$C$2:$C$1370,$B91)</f>
        <v>0</v>
      </c>
      <c r="H91" s="8" t="n">
        <f aca="false">SUMIFS(Detalle!$I$2:$I$1370,Detalle!$A$2:$A$1370,"5ed925a3-object_2",Detalle!$B$2:$B$1370,$A91,Detalle!$C$2:$C$1370,$B91)</f>
        <v>0</v>
      </c>
      <c r="I91" s="8" t="n">
        <f aca="false">SUMIFS(Detalle!$I$2:$I$1370,Detalle!$A$2:$A$1370,"70ef0058-object_0",Detalle!$B$2:$B$1370,$A91,Detalle!$C$2:$C$1370,$B91)</f>
        <v>0</v>
      </c>
      <c r="J91" s="8" t="n">
        <f aca="false">SUMIFS(Detalle!$I$2:$I$1370,Detalle!$A$2:$A$1370,"80c13944-object_3",Detalle!$B$2:$B$1370,$A91,Detalle!$C$2:$C$1370,$B91)</f>
        <v>0</v>
      </c>
      <c r="K91" s="8" t="n">
        <f aca="false">SUMIFS(Detalle!$I$2:$I$1370,Detalle!$A$2:$A$1370,"fba550bc-object_1",Detalle!$B$2:$B$1370,$A91,Detalle!$C$2:$C$1370,$B91)</f>
        <v>0</v>
      </c>
      <c r="L91" s="8" t="n">
        <f aca="false">SUMIFS(Detalle!$I$2:$I$1370,Detalle!$A$2:$A$1370,"38448021-object_5",Detalle!$B$2:$B$1370,$A91,Detalle!$C$2:$C$1370,$B91)</f>
        <v>0</v>
      </c>
      <c r="M91" s="7"/>
    </row>
    <row r="92" customFormat="false" ht="15" hidden="false" customHeight="false" outlineLevel="0" collapsed="false">
      <c r="A92" s="5" t="s">
        <v>114</v>
      </c>
      <c r="B92" s="5" t="s">
        <v>115</v>
      </c>
      <c r="C92" s="6" t="n">
        <f aca="false">SUMIFS(Detalle!$I$2:$I$1370,Detalle!$A$2:$A$1370,"2a3facb9-object_2",Detalle!$B$2:$B$1370,$A92,Detalle!$C$2:$C$1370,$B92)</f>
        <v>46.9768974136398</v>
      </c>
      <c r="D92" s="6" t="n">
        <f aca="false">SUMIFS(Detalle!$I$2:$I$1370,Detalle!$A$2:$A$1370,"2f639739-object_1",Detalle!$B$2:$B$1370,$A92,Detalle!$C$2:$C$1370,$B92)</f>
        <v>44.6258431808842</v>
      </c>
      <c r="E92" s="6" t="n">
        <f aca="false">SUMIFS(Detalle!$I$2:$I$1370,Detalle!$A$2:$A$1370,"5dc9e0d5-object_0",Detalle!$B$2:$B$1370,$A92,Detalle!$C$2:$C$1370,$B92)</f>
        <v>45.3260544421179</v>
      </c>
      <c r="F92" s="6" t="n">
        <f aca="false">SUMIFS(Detalle!$I$2:$I$1370,Detalle!$A$2:$A$1370,"a501b501-object_3",Detalle!$B$2:$B$1370,$A92,Detalle!$C$2:$C$1370,$B92)</f>
        <v>33.9156108438916</v>
      </c>
      <c r="G92" s="6" t="n">
        <f aca="false">SUMIFS(Detalle!$I$2:$I$1370,Detalle!$A$2:$A$1370,"2b65e967-object_0-1",Detalle!$B$2:$B$1370,$A92,Detalle!$C$2:$C$1370,$B92)</f>
        <v>46.7101504475338</v>
      </c>
      <c r="H92" s="6" t="n">
        <f aca="false">SUMIFS(Detalle!$I$2:$I$1370,Detalle!$A$2:$A$1370,"5ed925a3-object_2",Detalle!$B$2:$B$1370,$A92,Detalle!$C$2:$C$1370,$B92)</f>
        <v>46.2905949597298</v>
      </c>
      <c r="I92" s="6" t="n">
        <f aca="false">SUMIFS(Detalle!$I$2:$I$1370,Detalle!$A$2:$A$1370,"70ef0058-object_0",Detalle!$B$2:$B$1370,$A92,Detalle!$C$2:$C$1370,$B92)</f>
        <v>41.9703989832781</v>
      </c>
      <c r="J92" s="6" t="n">
        <f aca="false">SUMIFS(Detalle!$I$2:$I$1370,Detalle!$A$2:$A$1370,"80c13944-object_3",Detalle!$B$2:$B$1370,$A92,Detalle!$C$2:$C$1370,$B92)</f>
        <v>46.2776313019418</v>
      </c>
      <c r="K92" s="6" t="n">
        <f aca="false">SUMIFS(Detalle!$I$2:$I$1370,Detalle!$A$2:$A$1370,"fba550bc-object_1",Detalle!$B$2:$B$1370,$A92,Detalle!$C$2:$C$1370,$B92)</f>
        <v>45.9984990243658</v>
      </c>
      <c r="L92" s="5"/>
      <c r="M92" s="5"/>
    </row>
    <row r="93" customFormat="false" ht="15" hidden="false" customHeight="false" outlineLevel="0" collapsed="false">
      <c r="A93" s="5" t="s">
        <v>114</v>
      </c>
      <c r="B93" s="5" t="s">
        <v>116</v>
      </c>
      <c r="C93" s="6" t="n">
        <f aca="false">SUMIFS(Detalle!$I$2:$I$1370,Detalle!$A$2:$A$1370,"2a3facb9-object_2",Detalle!$B$2:$B$1370,$A93,Detalle!$C$2:$C$1370,$B93)</f>
        <v>98.6224729912045</v>
      </c>
      <c r="D93" s="6" t="n">
        <f aca="false">SUMIFS(Detalle!$I$2:$I$1370,Detalle!$A$2:$A$1370,"2f639739-object_1",Detalle!$B$2:$B$1370,$A93,Detalle!$C$2:$C$1370,$B93)</f>
        <v>78.9233845506209</v>
      </c>
      <c r="E93" s="6" t="n">
        <f aca="false">SUMIFS(Detalle!$I$2:$I$1370,Detalle!$A$2:$A$1370,"5dc9e0d5-object_0",Detalle!$B$2:$B$1370,$A93,Detalle!$C$2:$C$1370,$B93)</f>
        <v>101.334077603521</v>
      </c>
      <c r="F93" s="6" t="n">
        <f aca="false">SUMIFS(Detalle!$I$2:$I$1370,Detalle!$A$2:$A$1370,"a501b501-object_3",Detalle!$B$2:$B$1370,$A93,Detalle!$C$2:$C$1370,$B93)</f>
        <v>63.3434665653343</v>
      </c>
      <c r="G93" s="6" t="n">
        <f aca="false">SUMIFS(Detalle!$I$2:$I$1370,Detalle!$A$2:$A$1370,"2b65e967-object_0-1",Detalle!$B$2:$B$1370,$A93,Detalle!$C$2:$C$1370,$B93)</f>
        <v>33.3784041135022</v>
      </c>
      <c r="H93" s="6" t="n">
        <f aca="false">SUMIFS(Detalle!$I$2:$I$1370,Detalle!$A$2:$A$1370,"5ed925a3-object_2",Detalle!$B$2:$B$1370,$A93,Detalle!$C$2:$C$1370,$B93)</f>
        <v>31.6429342286708</v>
      </c>
      <c r="I93" s="6" t="n">
        <f aca="false">SUMIFS(Detalle!$I$2:$I$1370,Detalle!$A$2:$A$1370,"70ef0058-object_0",Detalle!$B$2:$B$1370,$A93,Detalle!$C$2:$C$1370,$B93)</f>
        <v>36.8139378959061</v>
      </c>
      <c r="J93" s="6" t="n">
        <f aca="false">SUMIFS(Detalle!$I$2:$I$1370,Detalle!$A$2:$A$1370,"80c13944-object_3",Detalle!$B$2:$B$1370,$A93,Detalle!$C$2:$C$1370,$B93)</f>
        <v>31.3320668464477</v>
      </c>
      <c r="K93" s="6" t="n">
        <f aca="false">SUMIFS(Detalle!$I$2:$I$1370,Detalle!$A$2:$A$1370,"fba550bc-object_1",Detalle!$B$2:$B$1370,$A93,Detalle!$C$2:$C$1370,$B93)</f>
        <v>26.3577825586631</v>
      </c>
      <c r="L93" s="5"/>
      <c r="M93" s="5"/>
    </row>
    <row r="94" customFormat="false" ht="15" hidden="false" customHeight="false" outlineLevel="0" collapsed="false">
      <c r="A94" s="5" t="s">
        <v>114</v>
      </c>
      <c r="B94" s="5" t="s">
        <v>117</v>
      </c>
      <c r="C94" s="6" t="n">
        <f aca="false">SUMIFS(Detalle!$I$2:$I$1370,Detalle!$A$2:$A$1370,"2a3facb9-object_2",Detalle!$B$2:$B$1370,$A94,Detalle!$C$2:$C$1370,$B94)</f>
        <v>14.8137883430771</v>
      </c>
      <c r="D94" s="6" t="n">
        <f aca="false">SUMIFS(Detalle!$I$2:$I$1370,Detalle!$A$2:$A$1370,"2f639739-object_1",Detalle!$B$2:$B$1370,$A94,Detalle!$C$2:$C$1370,$B94)</f>
        <v>16.8183640536829</v>
      </c>
      <c r="E94" s="6" t="n">
        <f aca="false">SUMIFS(Detalle!$I$2:$I$1370,Detalle!$A$2:$A$1370,"5dc9e0d5-object_0",Detalle!$B$2:$B$1370,$A94,Detalle!$C$2:$C$1370,$B94)</f>
        <v>18.7383551984958</v>
      </c>
      <c r="F94" s="6" t="n">
        <f aca="false">SUMIFS(Detalle!$I$2:$I$1370,Detalle!$A$2:$A$1370,"a501b501-object_3",Detalle!$B$2:$B$1370,$A94,Detalle!$C$2:$C$1370,$B94)</f>
        <v>12.9882701172988</v>
      </c>
      <c r="G94" s="6" t="n">
        <f aca="false">SUMIFS(Detalle!$I$2:$I$1370,Detalle!$A$2:$A$1370,"2b65e967-object_0-1",Detalle!$B$2:$B$1370,$A94,Detalle!$C$2:$C$1370,$B94)</f>
        <v>16.746334031613</v>
      </c>
      <c r="H94" s="6" t="n">
        <f aca="false">SUMIFS(Detalle!$I$2:$I$1370,Detalle!$A$2:$A$1370,"5ed925a3-object_2",Detalle!$B$2:$B$1370,$A94,Detalle!$C$2:$C$1370,$B94)</f>
        <v>14.3799588304655</v>
      </c>
      <c r="I94" s="6" t="n">
        <f aca="false">SUMIFS(Detalle!$I$2:$I$1370,Detalle!$A$2:$A$1370,"70ef0058-object_0",Detalle!$B$2:$B$1370,$A94,Detalle!$C$2:$C$1370,$B94)</f>
        <v>20.116282560618</v>
      </c>
      <c r="J94" s="6" t="n">
        <f aca="false">SUMIFS(Detalle!$I$2:$I$1370,Detalle!$A$2:$A$1370,"80c13944-object_3",Detalle!$B$2:$B$1370,$A94,Detalle!$C$2:$C$1370,$B94)</f>
        <v>18.7579071889004</v>
      </c>
      <c r="K94" s="6" t="n">
        <f aca="false">SUMIFS(Detalle!$I$2:$I$1370,Detalle!$A$2:$A$1370,"fba550bc-object_1",Detalle!$B$2:$B$1370,$A94,Detalle!$C$2:$C$1370,$B94)</f>
        <v>16.8335418021714</v>
      </c>
      <c r="L94" s="5"/>
      <c r="M94" s="5"/>
    </row>
    <row r="95" customFormat="false" ht="15" hidden="false" customHeight="false" outlineLevel="0" collapsed="false">
      <c r="A95" s="5" t="s">
        <v>114</v>
      </c>
      <c r="B95" s="5" t="s">
        <v>118</v>
      </c>
      <c r="C95" s="6" t="n">
        <f aca="false">SUMIFS(Detalle!$I$2:$I$1370,Detalle!$A$2:$A$1370,"2a3facb9-object_2",Detalle!$B$2:$B$1370,$A95,Detalle!$C$2:$C$1370,$B95)</f>
        <v>239.438907307278</v>
      </c>
      <c r="D95" s="6" t="n">
        <f aca="false">SUMIFS(Detalle!$I$2:$I$1370,Detalle!$A$2:$A$1370,"2f639739-object_1",Detalle!$B$2:$B$1370,$A95,Detalle!$C$2:$C$1370,$B95)</f>
        <v>207.928606508905</v>
      </c>
      <c r="E95" s="6" t="n">
        <f aca="false">SUMIFS(Detalle!$I$2:$I$1370,Detalle!$A$2:$A$1370,"5dc9e0d5-object_0",Detalle!$B$2:$B$1370,$A95,Detalle!$C$2:$C$1370,$B95)</f>
        <v>273.666456561685</v>
      </c>
      <c r="F95" s="6" t="n">
        <f aca="false">SUMIFS(Detalle!$I$2:$I$1370,Detalle!$A$2:$A$1370,"a501b501-object_3",Detalle!$B$2:$B$1370,$A95,Detalle!$C$2:$C$1370,$B95)</f>
        <v>154.061859381406</v>
      </c>
      <c r="G95" s="6" t="n">
        <f aca="false">SUMIFS(Detalle!$I$2:$I$1370,Detalle!$A$2:$A$1370,"2b65e967-object_0-1",Detalle!$B$2:$B$1370,$A95,Detalle!$C$2:$C$1370,$B95)</f>
        <v>88.521234050657</v>
      </c>
      <c r="H95" s="6" t="n">
        <f aca="false">SUMIFS(Detalle!$I$2:$I$1370,Detalle!$A$2:$A$1370,"5ed925a3-object_2",Detalle!$B$2:$B$1370,$A95,Detalle!$C$2:$C$1370,$B95)</f>
        <v>76.0539200991267</v>
      </c>
      <c r="I95" s="6" t="n">
        <f aca="false">SUMIFS(Detalle!$I$2:$I$1370,Detalle!$A$2:$A$1370,"70ef0058-object_0",Detalle!$B$2:$B$1370,$A95,Detalle!$C$2:$C$1370,$B95)</f>
        <v>99.2162435329084</v>
      </c>
      <c r="J95" s="6" t="n">
        <f aca="false">SUMIFS(Detalle!$I$2:$I$1370,Detalle!$A$2:$A$1370,"80c13944-object_3",Detalle!$B$2:$B$1370,$A95,Detalle!$C$2:$C$1370,$B95)</f>
        <v>90.6371865946206</v>
      </c>
      <c r="K95" s="6" t="n">
        <f aca="false">SUMIFS(Detalle!$I$2:$I$1370,Detalle!$A$2:$A$1370,"fba550bc-object_1",Detalle!$B$2:$B$1370,$A95,Detalle!$C$2:$C$1370,$B95)</f>
        <v>72.5178866263071</v>
      </c>
      <c r="L95" s="5"/>
      <c r="M95" s="5"/>
    </row>
    <row r="96" customFormat="false" ht="15" hidden="false" customHeight="false" outlineLevel="0" collapsed="false">
      <c r="A96" s="5" t="s">
        <v>114</v>
      </c>
      <c r="B96" s="5" t="s">
        <v>119</v>
      </c>
      <c r="C96" s="6" t="n">
        <f aca="false">SUMIFS(Detalle!$I$2:$I$1370,Detalle!$A$2:$A$1370,"2a3facb9-object_2",Detalle!$B$2:$B$1370,$A96,Detalle!$C$2:$C$1370,$B96)</f>
        <v>98.6224729912045</v>
      </c>
      <c r="D96" s="6" t="n">
        <f aca="false">SUMIFS(Detalle!$I$2:$I$1370,Detalle!$A$2:$A$1370,"2f639739-object_1",Detalle!$B$2:$B$1370,$A96,Detalle!$C$2:$C$1370,$B96)</f>
        <v>78.9233845506209</v>
      </c>
      <c r="E96" s="6" t="n">
        <f aca="false">SUMIFS(Detalle!$I$2:$I$1370,Detalle!$A$2:$A$1370,"5dc9e0d5-object_0",Detalle!$B$2:$B$1370,$A96,Detalle!$C$2:$C$1370,$B96)</f>
        <v>101.334077603521</v>
      </c>
      <c r="F96" s="6" t="n">
        <f aca="false">SUMIFS(Detalle!$I$2:$I$1370,Detalle!$A$2:$A$1370,"a501b501-object_3",Detalle!$B$2:$B$1370,$A96,Detalle!$C$2:$C$1370,$B96)</f>
        <v>63.3434665653343</v>
      </c>
      <c r="G96" s="6" t="n">
        <f aca="false">SUMIFS(Detalle!$I$2:$I$1370,Detalle!$A$2:$A$1370,"2b65e967-object_0-1",Detalle!$B$2:$B$1370,$A96,Detalle!$C$2:$C$1370,$B96)</f>
        <v>33.3784041135022</v>
      </c>
      <c r="H96" s="6" t="n">
        <f aca="false">SUMIFS(Detalle!$I$2:$I$1370,Detalle!$A$2:$A$1370,"5ed925a3-object_2",Detalle!$B$2:$B$1370,$A96,Detalle!$C$2:$C$1370,$B96)</f>
        <v>31.6429342286708</v>
      </c>
      <c r="I96" s="6" t="n">
        <f aca="false">SUMIFS(Detalle!$I$2:$I$1370,Detalle!$A$2:$A$1370,"70ef0058-object_0",Detalle!$B$2:$B$1370,$A96,Detalle!$C$2:$C$1370,$B96)</f>
        <v>36.8139378959061</v>
      </c>
      <c r="J96" s="6" t="n">
        <f aca="false">SUMIFS(Detalle!$I$2:$I$1370,Detalle!$A$2:$A$1370,"80c13944-object_3",Detalle!$B$2:$B$1370,$A96,Detalle!$C$2:$C$1370,$B96)</f>
        <v>31.3320668464477</v>
      </c>
      <c r="K96" s="6" t="n">
        <f aca="false">SUMIFS(Detalle!$I$2:$I$1370,Detalle!$A$2:$A$1370,"fba550bc-object_1",Detalle!$B$2:$B$1370,$A96,Detalle!$C$2:$C$1370,$B96)</f>
        <v>26.3577825586631</v>
      </c>
      <c r="L96" s="5"/>
      <c r="M96" s="5"/>
    </row>
    <row r="97" customFormat="false" ht="15" hidden="false" customHeight="false" outlineLevel="0" collapsed="false">
      <c r="A97" s="5" t="s">
        <v>114</v>
      </c>
      <c r="B97" s="5" t="s">
        <v>120</v>
      </c>
      <c r="C97" s="6" t="n">
        <f aca="false">SUMIFS(Detalle!$I$2:$I$1370,Detalle!$A$2:$A$1370,"2a3facb9-object_2",Detalle!$B$2:$B$1370,$A97,Detalle!$C$2:$C$1370,$B97)</f>
        <v>1</v>
      </c>
      <c r="D97" s="6" t="n">
        <f aca="false">SUMIFS(Detalle!$I$2:$I$1370,Detalle!$A$2:$A$1370,"2f639739-object_1",Detalle!$B$2:$B$1370,$A97,Detalle!$C$2:$C$1370,$B97)</f>
        <v>1</v>
      </c>
      <c r="E97" s="6" t="n">
        <f aca="false">SUMIFS(Detalle!$I$2:$I$1370,Detalle!$A$2:$A$1370,"5dc9e0d5-object_0",Detalle!$B$2:$B$1370,$A97,Detalle!$C$2:$C$1370,$B97)</f>
        <v>1</v>
      </c>
      <c r="F97" s="6" t="n">
        <f aca="false">SUMIFS(Detalle!$I$2:$I$1370,Detalle!$A$2:$A$1370,"a501b501-object_3",Detalle!$B$2:$B$1370,$A97,Detalle!$C$2:$C$1370,$B97)</f>
        <v>1</v>
      </c>
      <c r="G97" s="6" t="n">
        <f aca="false">SUMIFS(Detalle!$I$2:$I$1370,Detalle!$A$2:$A$1370,"2b65e967-object_0-1",Detalle!$B$2:$B$1370,$A97,Detalle!$C$2:$C$1370,$B97)</f>
        <v>1</v>
      </c>
      <c r="H97" s="6" t="n">
        <f aca="false">SUMIFS(Detalle!$I$2:$I$1370,Detalle!$A$2:$A$1370,"5ed925a3-object_2",Detalle!$B$2:$B$1370,$A97,Detalle!$C$2:$C$1370,$B97)</f>
        <v>1</v>
      </c>
      <c r="I97" s="6" t="n">
        <f aca="false">SUMIFS(Detalle!$I$2:$I$1370,Detalle!$A$2:$A$1370,"70ef0058-object_0",Detalle!$B$2:$B$1370,$A97,Detalle!$C$2:$C$1370,$B97)</f>
        <v>1</v>
      </c>
      <c r="J97" s="6" t="n">
        <f aca="false">SUMIFS(Detalle!$I$2:$I$1370,Detalle!$A$2:$A$1370,"80c13944-object_3",Detalle!$B$2:$B$1370,$A97,Detalle!$C$2:$C$1370,$B97)</f>
        <v>1</v>
      </c>
      <c r="K97" s="6" t="n">
        <f aca="false">SUMIFS(Detalle!$I$2:$I$1370,Detalle!$A$2:$A$1370,"fba550bc-object_1",Detalle!$B$2:$B$1370,$A97,Detalle!$C$2:$C$1370,$B97)</f>
        <v>1</v>
      </c>
      <c r="L97" s="5"/>
      <c r="M97" s="5"/>
    </row>
    <row r="98" customFormat="false" ht="15" hidden="false" customHeight="false" outlineLevel="0" collapsed="false">
      <c r="A98" s="5" t="s">
        <v>114</v>
      </c>
      <c r="B98" s="5" t="s">
        <v>121</v>
      </c>
      <c r="C98" s="6" t="n">
        <f aca="false">SUMIFS(Detalle!$I$2:$I$1370,Detalle!$A$2:$A$1370,"2a3facb9-object_2",Detalle!$B$2:$B$1370,$A98,Detalle!$C$2:$C$1370,$B98)</f>
        <v>27.5500695483021</v>
      </c>
      <c r="D98" s="6" t="n">
        <f aca="false">SUMIFS(Detalle!$I$2:$I$1370,Detalle!$A$2:$A$1370,"2f639739-object_1",Detalle!$B$2:$B$1370,$A98,Detalle!$C$2:$C$1370,$B98)</f>
        <v>26.6001142616592</v>
      </c>
      <c r="E98" s="6" t="n">
        <f aca="false">SUMIFS(Detalle!$I$2:$I$1370,Detalle!$A$2:$A$1370,"5dc9e0d5-object_0",Detalle!$B$2:$B$1370,$A98,Detalle!$C$2:$C$1370,$B98)</f>
        <v>33.249594034443</v>
      </c>
      <c r="F98" s="6" t="n">
        <f aca="false">SUMIFS(Detalle!$I$2:$I$1370,Detalle!$A$2:$A$1370,"a501b501-object_3",Detalle!$B$2:$B$1370,$A98,Detalle!$C$2:$C$1370,$B98)</f>
        <v>19.949800501995</v>
      </c>
      <c r="G98" s="6" t="n">
        <f aca="false">SUMIFS(Detalle!$I$2:$I$1370,Detalle!$A$2:$A$1370,"2b65e967-object_0-1",Detalle!$B$2:$B$1370,$A98,Detalle!$C$2:$C$1370,$B98)</f>
        <v>29.4496286421634</v>
      </c>
      <c r="H98" s="6" t="n">
        <f aca="false">SUMIFS(Detalle!$I$2:$I$1370,Detalle!$A$2:$A$1370,"5ed925a3-object_2",Detalle!$B$2:$B$1370,$A98,Detalle!$C$2:$C$1370,$B98)</f>
        <v>30.4003037752064</v>
      </c>
      <c r="I98" s="6" t="n">
        <f aca="false">SUMIFS(Detalle!$I$2:$I$1370,Detalle!$A$2:$A$1370,"70ef0058-object_0",Detalle!$B$2:$B$1370,$A98,Detalle!$C$2:$C$1370,$B98)</f>
        <v>27.5496102232585</v>
      </c>
      <c r="J98" s="6" t="n">
        <f aca="false">SUMIFS(Detalle!$I$2:$I$1370,Detalle!$A$2:$A$1370,"80c13944-object_3",Detalle!$B$2:$B$1370,$A98,Detalle!$C$2:$C$1370,$B98)</f>
        <v>30.3996952411505</v>
      </c>
      <c r="K98" s="6" t="n">
        <f aca="false">SUMIFS(Detalle!$I$2:$I$1370,Detalle!$A$2:$A$1370,"fba550bc-object_1",Detalle!$B$2:$B$1370,$A98,Detalle!$C$2:$C$1370,$B98)</f>
        <v>27.5498574073148</v>
      </c>
      <c r="L98" s="6" t="n">
        <f aca="false">SUMIFS(Detalle!$I$2:$I$1370,Detalle!$A$2:$A$1370,"38448021-object_5",Detalle!$B$2:$B$1370,$A98,Detalle!$C$2:$C$1370,$B98)</f>
        <v>33.2500474919264</v>
      </c>
      <c r="M98" s="5"/>
    </row>
    <row r="99" customFormat="false" ht="15" hidden="false" customHeight="false" outlineLevel="0" collapsed="false">
      <c r="A99" s="5" t="s">
        <v>114</v>
      </c>
      <c r="B99" s="5" t="s">
        <v>122</v>
      </c>
      <c r="C99" s="6" t="n">
        <f aca="false">SUMIFS(Detalle!$I$2:$I$1370,Detalle!$A$2:$A$1370,"2a3facb9-object_2",Detalle!$B$2:$B$1370,$A99,Detalle!$C$2:$C$1370,$B99)</f>
        <v>30.0836148383656</v>
      </c>
      <c r="D99" s="6" t="n">
        <f aca="false">SUMIFS(Detalle!$I$2:$I$1370,Detalle!$A$2:$A$1370,"2f639739-object_1",Detalle!$B$2:$B$1370,$A99,Detalle!$C$2:$C$1370,$B99)</f>
        <v>21.5154704272785</v>
      </c>
      <c r="E99" s="6" t="n">
        <f aca="false">SUMIFS(Detalle!$I$2:$I$1370,Detalle!$A$2:$A$1370,"5dc9e0d5-object_0",Detalle!$B$2:$B$1370,$A99,Detalle!$C$2:$C$1370,$B99)</f>
        <v>23.5236742019572</v>
      </c>
      <c r="F99" s="6" t="n">
        <f aca="false">SUMIFS(Detalle!$I$2:$I$1370,Detalle!$A$2:$A$1370,"a501b501-object_3",Detalle!$B$2:$B$1370,$A99,Detalle!$C$2:$C$1370,$B99)</f>
        <v>23.0353696463035</v>
      </c>
      <c r="G99" s="6" t="n">
        <f aca="false">SUMIFS(Detalle!$I$2:$I$1370,Detalle!$A$2:$A$1370,"2b65e967-object_0-1",Detalle!$B$2:$B$1370,$A99,Detalle!$C$2:$C$1370,$B99)</f>
        <v>23.0384688630737</v>
      </c>
      <c r="H99" s="6" t="n">
        <f aca="false">SUMIFS(Detalle!$I$2:$I$1370,Detalle!$A$2:$A$1370,"5ed925a3-object_2",Detalle!$B$2:$B$1370,$A99,Detalle!$C$2:$C$1370,$B99)</f>
        <v>22.2904550632532</v>
      </c>
      <c r="I99" s="6" t="n">
        <f aca="false">SUMIFS(Detalle!$I$2:$I$1370,Detalle!$A$2:$A$1370,"70ef0058-object_0",Detalle!$B$2:$B$1370,$A99,Detalle!$C$2:$C$1370,$B99)</f>
        <v>40.0177125759289</v>
      </c>
      <c r="J99" s="6" t="n">
        <f aca="false">SUMIFS(Detalle!$I$2:$I$1370,Detalle!$A$2:$A$1370,"80c13944-object_3",Detalle!$B$2:$B$1370,$A99,Detalle!$C$2:$C$1370,$B99)</f>
        <v>21.1235977584185</v>
      </c>
      <c r="K99" s="6" t="n">
        <f aca="false">SUMIFS(Detalle!$I$2:$I$1370,Detalle!$A$2:$A$1370,"fba550bc-object_1",Detalle!$B$2:$B$1370,$A99,Detalle!$C$2:$C$1370,$B99)</f>
        <v>2.51058187822084</v>
      </c>
      <c r="L99" s="6" t="n">
        <f aca="false">SUMIFS(Detalle!$I$2:$I$1370,Detalle!$A$2:$A$1370,"38448021-object_5",Detalle!$B$2:$B$1370,$A99,Detalle!$C$2:$C$1370,$B99)</f>
        <v>41.1194596918524</v>
      </c>
      <c r="M99" s="5"/>
    </row>
    <row r="100" customFormat="false" ht="15" hidden="false" customHeight="false" outlineLevel="0" collapsed="false">
      <c r="A100" s="5" t="s">
        <v>114</v>
      </c>
      <c r="B100" s="5" t="s">
        <v>123</v>
      </c>
      <c r="C100" s="6" t="n">
        <f aca="false">SUMIFS(Detalle!$I$2:$I$1370,Detalle!$A$2:$A$1370,"2a3facb9-object_2",Detalle!$B$2:$B$1370,$A100,Detalle!$C$2:$C$1370,$B100)</f>
        <v>16.0050514029932</v>
      </c>
      <c r="D100" s="6" t="n">
        <f aca="false">SUMIFS(Detalle!$I$2:$I$1370,Detalle!$A$2:$A$1370,"2f639739-object_1",Detalle!$B$2:$B$1370,$A100,Detalle!$C$2:$C$1370,$B100)</f>
        <v>16.0956590592457</v>
      </c>
      <c r="E100" s="6" t="n">
        <f aca="false">SUMIFS(Detalle!$I$2:$I$1370,Detalle!$A$2:$A$1370,"5dc9e0d5-object_0",Detalle!$B$2:$B$1370,$A100,Detalle!$C$2:$C$1370,$B100)</f>
        <v>20.1886671509765</v>
      </c>
      <c r="F100" s="6" t="n">
        <f aca="false">SUMIFS(Detalle!$I$2:$I$1370,Detalle!$A$2:$A$1370,"a501b501-object_3",Detalle!$B$2:$B$1370,$A100,Detalle!$C$2:$C$1370,$B100)</f>
        <v>12.0040799592004</v>
      </c>
      <c r="G100" s="6" t="n">
        <f aca="false">SUMIFS(Detalle!$I$2:$I$1370,Detalle!$A$2:$A$1370,"2b65e967-object_0-1",Detalle!$B$2:$B$1370,$A100,Detalle!$C$2:$C$1370,$B100)</f>
        <v>15.8836412111979</v>
      </c>
      <c r="H100" s="6" t="n">
        <f aca="false">SUMIFS(Detalle!$I$2:$I$1370,Detalle!$A$2:$A$1370,"5ed925a3-object_2",Detalle!$B$2:$B$1370,$A100,Detalle!$C$2:$C$1370,$B100)</f>
        <v>14.0230229630074</v>
      </c>
      <c r="I100" s="6" t="n">
        <f aca="false">SUMIFS(Detalle!$I$2:$I$1370,Detalle!$A$2:$A$1370,"70ef0058-object_0",Detalle!$B$2:$B$1370,$A100,Detalle!$C$2:$C$1370,$B100)</f>
        <v>18.665552542305</v>
      </c>
      <c r="J100" s="6" t="n">
        <f aca="false">SUMIFS(Detalle!$I$2:$I$1370,Detalle!$A$2:$A$1370,"80c13944-object_3",Detalle!$B$2:$B$1370,$A100,Detalle!$C$2:$C$1370,$B100)</f>
        <v>18.8721917574761</v>
      </c>
      <c r="K100" s="6" t="n">
        <f aca="false">SUMIFS(Detalle!$I$2:$I$1370,Detalle!$A$2:$A$1370,"fba550bc-object_1",Detalle!$B$2:$B$1370,$A100,Detalle!$C$2:$C$1370,$B100)</f>
        <v>2.17786561264822</v>
      </c>
      <c r="L100" s="6" t="n">
        <f aca="false">SUMIFS(Detalle!$I$2:$I$1370,Detalle!$A$2:$A$1370,"38448021-object_5",Detalle!$B$2:$B$1370,$A100,Detalle!$C$2:$C$1370,$B100)</f>
        <v>29.6112160932641</v>
      </c>
      <c r="M100" s="5"/>
    </row>
    <row r="101" customFormat="false" ht="15" hidden="false" customHeight="false" outlineLevel="0" collapsed="false">
      <c r="A101" s="5" t="s">
        <v>114</v>
      </c>
      <c r="B101" s="5" t="s">
        <v>124</v>
      </c>
      <c r="C101" s="6" t="n">
        <f aca="false">SUMIFS(Detalle!$I$2:$I$1370,Detalle!$A$2:$A$1370,"2a3facb9-object_2",Detalle!$B$2:$B$1370,$A101,Detalle!$C$2:$C$1370,$B101)</f>
        <v>77.0505767802797</v>
      </c>
      <c r="D101" s="6" t="n">
        <f aca="false">SUMIFS(Detalle!$I$2:$I$1370,Detalle!$A$2:$A$1370,"2f639739-object_1",Detalle!$B$2:$B$1370,$A101,Detalle!$C$2:$C$1370,$B101)</f>
        <v>70.0852452115344</v>
      </c>
      <c r="E101" s="6" t="n">
        <f aca="false">SUMIFS(Detalle!$I$2:$I$1370,Detalle!$A$2:$A$1370,"5dc9e0d5-object_0",Detalle!$B$2:$B$1370,$A101,Detalle!$C$2:$C$1370,$B101)</f>
        <v>73.0910538011196</v>
      </c>
      <c r="F101" s="6" t="n">
        <f aca="false">SUMIFS(Detalle!$I$2:$I$1370,Detalle!$A$2:$A$1370,"a501b501-object_3",Detalle!$B$2:$B$1370,$A101,Detalle!$C$2:$C$1370,$B101)</f>
        <v>60.1438985610144</v>
      </c>
      <c r="G101" s="6" t="n">
        <f aca="false">SUMIFS(Detalle!$I$2:$I$1370,Detalle!$A$2:$A$1370,"2b65e967-object_0-1",Detalle!$B$2:$B$1370,$A101,Detalle!$C$2:$C$1370,$B101)</f>
        <v>61.5577985145687</v>
      </c>
      <c r="H101" s="6" t="n">
        <f aca="false">SUMIFS(Detalle!$I$2:$I$1370,Detalle!$A$2:$A$1370,"5ed925a3-object_2",Detalle!$B$2:$B$1370,$A101,Detalle!$C$2:$C$1370,$B101)</f>
        <v>57.7353258588644</v>
      </c>
      <c r="I101" s="6" t="n">
        <f aca="false">SUMIFS(Detalle!$I$2:$I$1370,Detalle!$A$2:$A$1370,"70ef0058-object_0",Detalle!$B$2:$B$1370,$A101,Detalle!$C$2:$C$1370,$B101)</f>
        <v>108.993935694343</v>
      </c>
      <c r="J101" s="6" t="n">
        <f aca="false">SUMIFS(Detalle!$I$2:$I$1370,Detalle!$A$2:$A$1370,"80c13944-object_3",Detalle!$B$2:$B$1370,$A101,Detalle!$C$2:$C$1370,$B101)</f>
        <v>77.3944622109052</v>
      </c>
      <c r="K101" s="6" t="n">
        <f aca="false">SUMIFS(Detalle!$I$2:$I$1370,Detalle!$A$2:$A$1370,"fba550bc-object_1",Detalle!$B$2:$B$1370,$A101,Detalle!$C$2:$C$1370,$B101)</f>
        <v>7.49847400810527</v>
      </c>
      <c r="L101" s="6" t="n">
        <f aca="false">SUMIFS(Detalle!$I$2:$I$1370,Detalle!$A$2:$A$1370,"38448021-object_5",Detalle!$B$2:$B$1370,$A101,Detalle!$C$2:$C$1370,$B101)</f>
        <v>198.740414129598</v>
      </c>
      <c r="M101" s="5"/>
    </row>
    <row r="102" customFormat="false" ht="15" hidden="false" customHeight="false" outlineLevel="0" collapsed="false">
      <c r="A102" s="5" t="s">
        <v>114</v>
      </c>
      <c r="B102" s="5" t="s">
        <v>125</v>
      </c>
      <c r="C102" s="6" t="n">
        <f aca="false">SUMIFS(Detalle!$I$2:$I$1370,Detalle!$A$2:$A$1370,"2a3facb9-object_2",Detalle!$B$2:$B$1370,$A102,Detalle!$C$2:$C$1370,$B102)</f>
        <v>30.0836148383656</v>
      </c>
      <c r="D102" s="6" t="n">
        <f aca="false">SUMIFS(Detalle!$I$2:$I$1370,Detalle!$A$2:$A$1370,"2f639739-object_1",Detalle!$B$2:$B$1370,$A102,Detalle!$C$2:$C$1370,$B102)</f>
        <v>21.5154704272785</v>
      </c>
      <c r="E102" s="6" t="n">
        <f aca="false">SUMIFS(Detalle!$I$2:$I$1370,Detalle!$A$2:$A$1370,"5dc9e0d5-object_0",Detalle!$B$2:$B$1370,$A102,Detalle!$C$2:$C$1370,$B102)</f>
        <v>23.5236742019572</v>
      </c>
      <c r="F102" s="6" t="n">
        <f aca="false">SUMIFS(Detalle!$I$2:$I$1370,Detalle!$A$2:$A$1370,"a501b501-object_3",Detalle!$B$2:$B$1370,$A102,Detalle!$C$2:$C$1370,$B102)</f>
        <v>23.0353696463035</v>
      </c>
      <c r="G102" s="6" t="n">
        <f aca="false">SUMIFS(Detalle!$I$2:$I$1370,Detalle!$A$2:$A$1370,"2b65e967-object_0-1",Detalle!$B$2:$B$1370,$A102,Detalle!$C$2:$C$1370,$B102)</f>
        <v>45.8246048371739</v>
      </c>
      <c r="H102" s="6" t="n">
        <f aca="false">SUMIFS(Detalle!$I$2:$I$1370,Detalle!$A$2:$A$1370,"5ed925a3-object_2",Detalle!$B$2:$B$1370,$A102,Detalle!$C$2:$C$1370,$B102)</f>
        <v>42.4022723184843</v>
      </c>
      <c r="I102" s="6" t="n">
        <f aca="false">SUMIFS(Detalle!$I$2:$I$1370,Detalle!$A$2:$A$1370,"70ef0058-object_0",Detalle!$B$2:$B$1370,$A102,Detalle!$C$2:$C$1370,$B102)</f>
        <v>41.1623252509282</v>
      </c>
      <c r="J102" s="6" t="n">
        <f aca="false">SUMIFS(Detalle!$I$2:$I$1370,Detalle!$A$2:$A$1370,"80c13944-object_3",Detalle!$B$2:$B$1370,$A102,Detalle!$C$2:$C$1370,$B102)</f>
        <v>39.8338863770789</v>
      </c>
      <c r="K102" s="6" t="n">
        <f aca="false">SUMIFS(Detalle!$I$2:$I$1370,Detalle!$A$2:$A$1370,"fba550bc-object_1",Detalle!$B$2:$B$1370,$A102,Detalle!$C$2:$C$1370,$B102)</f>
        <v>35.1614549457147</v>
      </c>
      <c r="L102" s="6" t="n">
        <f aca="false">SUMIFS(Detalle!$I$2:$I$1370,Detalle!$A$2:$A$1370,"38448021-object_5",Detalle!$B$2:$B$1370,$A102,Detalle!$C$2:$C$1370,$B102)</f>
        <v>52.9506483897737</v>
      </c>
      <c r="M102" s="5"/>
    </row>
    <row r="103" customFormat="false" ht="15" hidden="false" customHeight="false" outlineLevel="0" collapsed="false">
      <c r="A103" s="5" t="s">
        <v>114</v>
      </c>
      <c r="B103" s="5" t="s">
        <v>126</v>
      </c>
      <c r="C103" s="6" t="n">
        <f aca="false">SUMIFS(Detalle!$I$2:$I$1370,Detalle!$A$2:$A$1370,"2a3facb9-object_2",Detalle!$B$2:$B$1370,$A103,Detalle!$C$2:$C$1370,$B103)</f>
        <v>1</v>
      </c>
      <c r="D103" s="6" t="n">
        <f aca="false">SUMIFS(Detalle!$I$2:$I$1370,Detalle!$A$2:$A$1370,"2f639739-object_1",Detalle!$B$2:$B$1370,$A103,Detalle!$C$2:$C$1370,$B103)</f>
        <v>2</v>
      </c>
      <c r="E103" s="6" t="n">
        <f aca="false">SUMIFS(Detalle!$I$2:$I$1370,Detalle!$A$2:$A$1370,"5dc9e0d5-object_0",Detalle!$B$2:$B$1370,$A103,Detalle!$C$2:$C$1370,$B103)</f>
        <v>1</v>
      </c>
      <c r="F103" s="6" t="n">
        <f aca="false">SUMIFS(Detalle!$I$2:$I$1370,Detalle!$A$2:$A$1370,"a501b501-object_3",Detalle!$B$2:$B$1370,$A103,Detalle!$C$2:$C$1370,$B103)</f>
        <v>1</v>
      </c>
      <c r="G103" s="6" t="n">
        <f aca="false">SUMIFS(Detalle!$I$2:$I$1370,Detalle!$A$2:$A$1370,"2b65e967-object_0-1",Detalle!$B$2:$B$1370,$A103,Detalle!$C$2:$C$1370,$B103)</f>
        <v>5</v>
      </c>
      <c r="H103" s="6" t="n">
        <f aca="false">SUMIFS(Detalle!$I$2:$I$1370,Detalle!$A$2:$A$1370,"5ed925a3-object_2",Detalle!$B$2:$B$1370,$A103,Detalle!$C$2:$C$1370,$B103)</f>
        <v>3</v>
      </c>
      <c r="I103" s="6" t="n">
        <f aca="false">SUMIFS(Detalle!$I$2:$I$1370,Detalle!$A$2:$A$1370,"70ef0058-object_0",Detalle!$B$2:$B$1370,$A103,Detalle!$C$2:$C$1370,$B103)</f>
        <v>2</v>
      </c>
      <c r="J103" s="6" t="n">
        <f aca="false">SUMIFS(Detalle!$I$2:$I$1370,Detalle!$A$2:$A$1370,"80c13944-object_3",Detalle!$B$2:$B$1370,$A103,Detalle!$C$2:$C$1370,$B103)</f>
        <v>3</v>
      </c>
      <c r="K103" s="6" t="n">
        <f aca="false">SUMIFS(Detalle!$I$2:$I$1370,Detalle!$A$2:$A$1370,"fba550bc-object_1",Detalle!$B$2:$B$1370,$A103,Detalle!$C$2:$C$1370,$B103)</f>
        <v>4</v>
      </c>
      <c r="L103" s="6" t="n">
        <f aca="false">SUMIFS(Detalle!$I$2:$I$1370,Detalle!$A$2:$A$1370,"38448021-object_5",Detalle!$B$2:$B$1370,$A103,Detalle!$C$2:$C$1370,$B103)</f>
        <v>3</v>
      </c>
      <c r="M103" s="5"/>
    </row>
    <row r="104" customFormat="false" ht="15" hidden="false" customHeight="false" outlineLevel="0" collapsed="false">
      <c r="A104" s="5" t="s">
        <v>114</v>
      </c>
      <c r="B104" s="5" t="s">
        <v>127</v>
      </c>
      <c r="C104" s="6" t="n">
        <f aca="false">SUMIFS(Detalle!$I$2:$I$1370,Detalle!$A$2:$A$1370,"2a3facb9-object_2",Detalle!$B$2:$B$1370,$A104,Detalle!$C$2:$C$1370,$B104)</f>
        <v>24.8158277293787</v>
      </c>
      <c r="D104" s="6" t="n">
        <f aca="false">SUMIFS(Detalle!$I$2:$I$1370,Detalle!$A$2:$A$1370,"2f639739-object_1",Detalle!$B$2:$B$1370,$A104,Detalle!$C$2:$C$1370,$B104)</f>
        <v>24.1653887402151</v>
      </c>
      <c r="E104" s="6" t="n">
        <f aca="false">SUMIFS(Detalle!$I$2:$I$1370,Detalle!$A$2:$A$1370,"5dc9e0d5-object_0",Detalle!$B$2:$B$1370,$A104,Detalle!$C$2:$C$1370,$B104)</f>
        <v>27.340765351908</v>
      </c>
      <c r="F104" s="6" t="n">
        <f aca="false">SUMIFS(Detalle!$I$2:$I$1370,Detalle!$A$2:$A$1370,"a501b501-object_3",Detalle!$B$2:$B$1370,$A104,Detalle!$C$2:$C$1370,$B104)</f>
        <v>18.7651623483765</v>
      </c>
      <c r="G104" s="6" t="n">
        <f aca="false">SUMIFS(Detalle!$I$2:$I$1370,Detalle!$A$2:$A$1370,"2b65e967-object_0-1",Detalle!$B$2:$B$1370,$A104,Detalle!$C$2:$C$1370,$B104)</f>
        <v>25.1009331555894</v>
      </c>
      <c r="H104" s="6" t="n">
        <f aca="false">SUMIFS(Detalle!$I$2:$I$1370,Detalle!$A$2:$A$1370,"5ed925a3-object_2",Detalle!$B$2:$B$1370,$A104,Detalle!$C$2:$C$1370,$B104)</f>
        <v>26.4265443571757</v>
      </c>
      <c r="I104" s="6" t="n">
        <f aca="false">SUMIFS(Detalle!$I$2:$I$1370,Detalle!$A$2:$A$1370,"70ef0058-object_0",Detalle!$B$2:$B$1370,$A104,Detalle!$C$2:$C$1370,$B104)</f>
        <v>21.8008786238229</v>
      </c>
      <c r="J104" s="6" t="n">
        <f aca="false">SUMIFS(Detalle!$I$2:$I$1370,Detalle!$A$2:$A$1370,"80c13944-object_3",Detalle!$B$2:$B$1370,$A104,Detalle!$C$2:$C$1370,$B104)</f>
        <v>24.4949925314032</v>
      </c>
      <c r="K104" s="6" t="n">
        <f aca="false">SUMIFS(Detalle!$I$2:$I$1370,Detalle!$A$2:$A$1370,"fba550bc-object_1",Detalle!$B$2:$B$1370,$A104,Detalle!$C$2:$C$1370,$B104)</f>
        <v>22.3708910792015</v>
      </c>
      <c r="L104" s="5"/>
      <c r="M104" s="5"/>
    </row>
    <row r="105" customFormat="false" ht="15" hidden="false" customHeight="false" outlineLevel="0" collapsed="false">
      <c r="A105" s="5" t="s">
        <v>114</v>
      </c>
      <c r="B105" s="5" t="s">
        <v>128</v>
      </c>
      <c r="C105" s="6" t="n">
        <f aca="false">SUMIFS(Detalle!$I$2:$I$1370,Detalle!$A$2:$A$1370,"2a3facb9-object_2",Detalle!$B$2:$B$1370,$A105,Detalle!$C$2:$C$1370,$B105)</f>
        <v>31.8322578620957</v>
      </c>
      <c r="D105" s="6" t="n">
        <f aca="false">SUMIFS(Detalle!$I$2:$I$1370,Detalle!$A$2:$A$1370,"2f639739-object_1",Detalle!$B$2:$B$1370,$A105,Detalle!$C$2:$C$1370,$B105)</f>
        <v>23.0608593679526</v>
      </c>
      <c r="E105" s="6" t="n">
        <f aca="false">SUMIFS(Detalle!$I$2:$I$1370,Detalle!$A$2:$A$1370,"5dc9e0d5-object_0",Detalle!$B$2:$B$1370,$A105,Detalle!$C$2:$C$1370,$B105)</f>
        <v>27.5934789111576</v>
      </c>
      <c r="F105" s="6" t="n">
        <f aca="false">SUMIFS(Detalle!$I$2:$I$1370,Detalle!$A$2:$A$1370,"a501b501-object_3",Detalle!$B$2:$B$1370,$A105,Detalle!$C$2:$C$1370,$B105)</f>
        <v>21.379536204638</v>
      </c>
      <c r="G105" s="6" t="n">
        <f aca="false">SUMIFS(Detalle!$I$2:$I$1370,Detalle!$A$2:$A$1370,"2b65e967-object_0-1",Detalle!$B$2:$B$1370,$A105,Detalle!$C$2:$C$1370,$B105)</f>
        <v>24.8343172729004</v>
      </c>
      <c r="H105" s="6" t="n">
        <f aca="false">SUMIFS(Detalle!$I$2:$I$1370,Detalle!$A$2:$A$1370,"5ed925a3-object_2",Detalle!$B$2:$B$1370,$A105,Detalle!$C$2:$C$1370,$B105)</f>
        <v>24.6523072926035</v>
      </c>
      <c r="I105" s="6" t="n">
        <f aca="false">SUMIFS(Detalle!$I$2:$I$1370,Detalle!$A$2:$A$1370,"70ef0058-object_0",Detalle!$B$2:$B$1370,$A105,Detalle!$C$2:$C$1370,$B105)</f>
        <v>33.0064846040689</v>
      </c>
      <c r="J105" s="6" t="n">
        <f aca="false">SUMIFS(Detalle!$I$2:$I$1370,Detalle!$A$2:$A$1370,"80c13944-object_3",Detalle!$B$2:$B$1370,$A105,Detalle!$C$2:$C$1370,$B105)</f>
        <v>27.0006816974266</v>
      </c>
      <c r="K105" s="6" t="n">
        <f aca="false">SUMIFS(Detalle!$I$2:$I$1370,Detalle!$A$2:$A$1370,"fba550bc-object_1",Detalle!$B$2:$B$1370,$A105,Detalle!$C$2:$C$1370,$B105)</f>
        <v>8.86261069695302</v>
      </c>
      <c r="L105" s="5"/>
      <c r="M105" s="5"/>
    </row>
    <row r="106" customFormat="false" ht="15" hidden="false" customHeight="false" outlineLevel="0" collapsed="false">
      <c r="A106" s="5" t="s">
        <v>114</v>
      </c>
      <c r="B106" s="5" t="s">
        <v>129</v>
      </c>
      <c r="C106" s="6" t="n">
        <f aca="false">SUMIFS(Detalle!$I$2:$I$1370,Detalle!$A$2:$A$1370,"2a3facb9-object_2",Detalle!$B$2:$B$1370,$A106,Detalle!$C$2:$C$1370,$B106)</f>
        <v>17.3662110294195</v>
      </c>
      <c r="D106" s="6" t="n">
        <f aca="false">SUMIFS(Detalle!$I$2:$I$1370,Detalle!$A$2:$A$1370,"2f639739-object_1",Detalle!$B$2:$B$1370,$A106,Detalle!$C$2:$C$1370,$B106)</f>
        <v>15.6328993394874</v>
      </c>
      <c r="E106" s="6" t="n">
        <f aca="false">SUMIFS(Detalle!$I$2:$I$1370,Detalle!$A$2:$A$1370,"5dc9e0d5-object_0",Detalle!$B$2:$B$1370,$A106,Detalle!$C$2:$C$1370,$B106)</f>
        <v>17.0048822699885</v>
      </c>
      <c r="F106" s="6" t="n">
        <f aca="false">SUMIFS(Detalle!$I$2:$I$1370,Detalle!$A$2:$A$1370,"a501b501-object_3",Detalle!$B$2:$B$1370,$A106,Detalle!$C$2:$C$1370,$B106)</f>
        <v>11.7257327426726</v>
      </c>
      <c r="G106" s="6" t="n">
        <f aca="false">SUMIFS(Detalle!$I$2:$I$1370,Detalle!$A$2:$A$1370,"2b65e967-object_0-1",Detalle!$B$2:$B$1370,$A106,Detalle!$C$2:$C$1370,$B106)</f>
        <v>13.8640258998286</v>
      </c>
      <c r="H106" s="6" t="n">
        <f aca="false">SUMIFS(Detalle!$I$2:$I$1370,Detalle!$A$2:$A$1370,"5ed925a3-object_2",Detalle!$B$2:$B$1370,$A106,Detalle!$C$2:$C$1370,$B106)</f>
        <v>13.3006075504127</v>
      </c>
      <c r="I106" s="6" t="n">
        <f aca="false">SUMIFS(Detalle!$I$2:$I$1370,Detalle!$A$2:$A$1370,"70ef0058-object_0",Detalle!$B$2:$B$1370,$A106,Detalle!$C$2:$C$1370,$B106)</f>
        <v>16.5769196129252</v>
      </c>
      <c r="J106" s="6" t="n">
        <f aca="false">SUMIFS(Detalle!$I$2:$I$1370,Detalle!$A$2:$A$1370,"80c13944-object_3",Detalle!$B$2:$B$1370,$A106,Detalle!$C$2:$C$1370,$B106)</f>
        <v>14.0379545067217</v>
      </c>
      <c r="K106" s="6" t="n">
        <f aca="false">SUMIFS(Detalle!$I$2:$I$1370,Detalle!$A$2:$A$1370,"fba550bc-object_1",Detalle!$B$2:$B$1370,$A106,Detalle!$C$2:$C$1370,$B106)</f>
        <v>12.6289588232351</v>
      </c>
      <c r="L106" s="5"/>
      <c r="M106" s="5"/>
    </row>
    <row r="107" customFormat="false" ht="15" hidden="false" customHeight="false" outlineLevel="0" collapsed="false">
      <c r="A107" s="5" t="s">
        <v>114</v>
      </c>
      <c r="B107" s="5" t="s">
        <v>130</v>
      </c>
      <c r="C107" s="6" t="n">
        <f aca="false">SUMIFS(Detalle!$I$2:$I$1370,Detalle!$A$2:$A$1370,"2a3facb9-object_2",Detalle!$B$2:$B$1370,$A107,Detalle!$C$2:$C$1370,$B107)</f>
        <v>82.4405701914932</v>
      </c>
      <c r="D107" s="6" t="n">
        <f aca="false">SUMIFS(Detalle!$I$2:$I$1370,Detalle!$A$2:$A$1370,"2f639739-object_1",Detalle!$B$2:$B$1370,$A107,Detalle!$C$2:$C$1370,$B107)</f>
        <v>73.1398402341362</v>
      </c>
      <c r="E107" s="6" t="n">
        <f aca="false">SUMIFS(Detalle!$I$2:$I$1370,Detalle!$A$2:$A$1370,"5dc9e0d5-object_0",Detalle!$B$2:$B$1370,$A107,Detalle!$C$2:$C$1370,$B107)</f>
        <v>72.2496901841802</v>
      </c>
      <c r="F107" s="6" t="n">
        <f aca="false">SUMIFS(Detalle!$I$2:$I$1370,Detalle!$A$2:$A$1370,"a501b501-object_3",Detalle!$B$2:$B$1370,$A107,Detalle!$C$2:$C$1370,$B107)</f>
        <v>59.5112048879511</v>
      </c>
      <c r="G107" s="6" t="n">
        <f aca="false">SUMIFS(Detalle!$I$2:$I$1370,Detalle!$A$2:$A$1370,"2b65e967-object_0-1",Detalle!$B$2:$B$1370,$A107,Detalle!$C$2:$C$1370,$B107)</f>
        <v>64.1925347552847</v>
      </c>
      <c r="H107" s="6" t="n">
        <f aca="false">SUMIFS(Detalle!$I$2:$I$1370,Detalle!$A$2:$A$1370,"5ed925a3-object_2",Detalle!$B$2:$B$1370,$A107,Detalle!$C$2:$C$1370,$B107)</f>
        <v>61.5590962687611</v>
      </c>
      <c r="I107" s="6" t="n">
        <f aca="false">SUMIFS(Detalle!$I$2:$I$1370,Detalle!$A$2:$A$1370,"70ef0058-object_0",Detalle!$B$2:$B$1370,$A107,Detalle!$C$2:$C$1370,$B107)</f>
        <v>87.8680363057771</v>
      </c>
      <c r="J107" s="6" t="n">
        <f aca="false">SUMIFS(Detalle!$I$2:$I$1370,Detalle!$A$2:$A$1370,"80c13944-object_3",Detalle!$B$2:$B$1370,$A107,Detalle!$C$2:$C$1370,$B107)</f>
        <v>73.7554510731722</v>
      </c>
      <c r="K107" s="6" t="n">
        <f aca="false">SUMIFS(Detalle!$I$2:$I$1370,Detalle!$A$2:$A$1370,"fba550bc-object_1",Detalle!$B$2:$B$1370,$A107,Detalle!$C$2:$C$1370,$B107)</f>
        <v>35.7489368089258</v>
      </c>
      <c r="L107" s="5"/>
      <c r="M107" s="5"/>
    </row>
    <row r="108" customFormat="false" ht="15" hidden="false" customHeight="false" outlineLevel="0" collapsed="false">
      <c r="A108" s="5" t="s">
        <v>114</v>
      </c>
      <c r="B108" s="5" t="s">
        <v>131</v>
      </c>
      <c r="C108" s="6" t="n">
        <f aca="false">SUMIFS(Detalle!$I$2:$I$1370,Detalle!$A$2:$A$1370,"2a3facb9-object_2",Detalle!$B$2:$B$1370,$A108,Detalle!$C$2:$C$1370,$B108)</f>
        <v>31.8322578620957</v>
      </c>
      <c r="D108" s="6" t="n">
        <f aca="false">SUMIFS(Detalle!$I$2:$I$1370,Detalle!$A$2:$A$1370,"2f639739-object_1",Detalle!$B$2:$B$1370,$A108,Detalle!$C$2:$C$1370,$B108)</f>
        <v>23.0608593679526</v>
      </c>
      <c r="E108" s="6" t="n">
        <f aca="false">SUMIFS(Detalle!$I$2:$I$1370,Detalle!$A$2:$A$1370,"5dc9e0d5-object_0",Detalle!$B$2:$B$1370,$A108,Detalle!$C$2:$C$1370,$B108)</f>
        <v>27.5934789111576</v>
      </c>
      <c r="F108" s="6" t="n">
        <f aca="false">SUMIFS(Detalle!$I$2:$I$1370,Detalle!$A$2:$A$1370,"a501b501-object_3",Detalle!$B$2:$B$1370,$A108,Detalle!$C$2:$C$1370,$B108)</f>
        <v>21.379536204638</v>
      </c>
      <c r="G108" s="6" t="n">
        <f aca="false">SUMIFS(Detalle!$I$2:$I$1370,Detalle!$A$2:$A$1370,"2b65e967-object_0-1",Detalle!$B$2:$B$1370,$A108,Detalle!$C$2:$C$1370,$B108)</f>
        <v>47.7328127975624</v>
      </c>
      <c r="H108" s="6" t="n">
        <f aca="false">SUMIFS(Detalle!$I$2:$I$1370,Detalle!$A$2:$A$1370,"5ed925a3-object_2",Detalle!$B$2:$B$1370,$A108,Detalle!$C$2:$C$1370,$B108)</f>
        <v>44.4451605811699</v>
      </c>
      <c r="I108" s="6" t="n">
        <f aca="false">SUMIFS(Detalle!$I$2:$I$1370,Detalle!$A$2:$A$1370,"70ef0058-object_0",Detalle!$B$2:$B$1370,$A108,Detalle!$C$2:$C$1370,$B108)</f>
        <v>33.0064846040689</v>
      </c>
      <c r="J108" s="6" t="n">
        <f aca="false">SUMIFS(Detalle!$I$2:$I$1370,Detalle!$A$2:$A$1370,"80c13944-object_3",Detalle!$B$2:$B$1370,$A108,Detalle!$C$2:$C$1370,$B108)</f>
        <v>42.8052851600485</v>
      </c>
      <c r="K108" s="6" t="n">
        <f aca="false">SUMIFS(Detalle!$I$2:$I$1370,Detalle!$A$2:$A$1370,"fba550bc-object_1",Detalle!$B$2:$B$1370,$A108,Detalle!$C$2:$C$1370,$B108)</f>
        <v>34.9513683894531</v>
      </c>
      <c r="L108" s="5"/>
      <c r="M108" s="5"/>
    </row>
    <row r="109" customFormat="false" ht="15" hidden="false" customHeight="false" outlineLevel="0" collapsed="false">
      <c r="A109" s="5" t="s">
        <v>114</v>
      </c>
      <c r="B109" s="5" t="s">
        <v>132</v>
      </c>
      <c r="C109" s="6" t="n">
        <f aca="false">SUMIFS(Detalle!$I$2:$I$1370,Detalle!$A$2:$A$1370,"2a3facb9-object_2",Detalle!$B$2:$B$1370,$A109,Detalle!$C$2:$C$1370,$B109)</f>
        <v>1</v>
      </c>
      <c r="D109" s="6" t="n">
        <f aca="false">SUMIFS(Detalle!$I$2:$I$1370,Detalle!$A$2:$A$1370,"2f639739-object_1",Detalle!$B$2:$B$1370,$A109,Detalle!$C$2:$C$1370,$B109)</f>
        <v>1</v>
      </c>
      <c r="E109" s="6" t="n">
        <f aca="false">SUMIFS(Detalle!$I$2:$I$1370,Detalle!$A$2:$A$1370,"5dc9e0d5-object_0",Detalle!$B$2:$B$1370,$A109,Detalle!$C$2:$C$1370,$B109)</f>
        <v>3</v>
      </c>
      <c r="F109" s="6" t="n">
        <f aca="false">SUMIFS(Detalle!$I$2:$I$1370,Detalle!$A$2:$A$1370,"a501b501-object_3",Detalle!$B$2:$B$1370,$A109,Detalle!$C$2:$C$1370,$B109)</f>
        <v>1</v>
      </c>
      <c r="G109" s="6" t="n">
        <f aca="false">SUMIFS(Detalle!$I$2:$I$1370,Detalle!$A$2:$A$1370,"2b65e967-object_0-1",Detalle!$B$2:$B$1370,$A109,Detalle!$C$2:$C$1370,$B109)</f>
        <v>5</v>
      </c>
      <c r="H109" s="6" t="n">
        <f aca="false">SUMIFS(Detalle!$I$2:$I$1370,Detalle!$A$2:$A$1370,"5ed925a3-object_2",Detalle!$B$2:$B$1370,$A109,Detalle!$C$2:$C$1370,$B109)</f>
        <v>3</v>
      </c>
      <c r="I109" s="6" t="n">
        <f aca="false">SUMIFS(Detalle!$I$2:$I$1370,Detalle!$A$2:$A$1370,"70ef0058-object_0",Detalle!$B$2:$B$1370,$A109,Detalle!$C$2:$C$1370,$B109)</f>
        <v>1</v>
      </c>
      <c r="J109" s="6" t="n">
        <f aca="false">SUMIFS(Detalle!$I$2:$I$1370,Detalle!$A$2:$A$1370,"80c13944-object_3",Detalle!$B$2:$B$1370,$A109,Detalle!$C$2:$C$1370,$B109)</f>
        <v>4</v>
      </c>
      <c r="K109" s="6" t="n">
        <f aca="false">SUMIFS(Detalle!$I$2:$I$1370,Detalle!$A$2:$A$1370,"fba550bc-object_1",Detalle!$B$2:$B$1370,$A109,Detalle!$C$2:$C$1370,$B109)</f>
        <v>4</v>
      </c>
      <c r="L109" s="5"/>
      <c r="M109" s="5"/>
    </row>
    <row r="110" customFormat="false" ht="15" hidden="false" customHeight="false" outlineLevel="0" collapsed="false">
      <c r="A110" s="5" t="s">
        <v>114</v>
      </c>
      <c r="B110" s="5" t="s">
        <v>133</v>
      </c>
      <c r="C110" s="6" t="n">
        <f aca="false">SUMIFS(Detalle!$I$2:$I$1370,Detalle!$A$2:$A$1370,"2a3facb9-object_2",Detalle!$B$2:$B$1370,$A110,Detalle!$C$2:$C$1370,$B110)</f>
        <v>52.2496522584896</v>
      </c>
      <c r="D110" s="6" t="n">
        <f aca="false">SUMIFS(Detalle!$I$2:$I$1370,Detalle!$A$2:$A$1370,"2f639739-object_1",Detalle!$B$2:$B$1370,$A110,Detalle!$C$2:$C$1370,$B110)</f>
        <v>49.4000761744395</v>
      </c>
      <c r="E110" s="6" t="n">
        <f aca="false">SUMIFS(Detalle!$I$2:$I$1370,Detalle!$A$2:$A$1370,"5dc9e0d5-object_0",Detalle!$B$2:$B$1370,$A110,Detalle!$C$2:$C$1370,$B110)</f>
        <v>50.3498782103329</v>
      </c>
      <c r="F110" s="6" t="n">
        <f aca="false">SUMIFS(Detalle!$I$2:$I$1370,Detalle!$A$2:$A$1370,"a501b501-object_3",Detalle!$B$2:$B$1370,$A110,Detalle!$C$2:$C$1370,$B110)</f>
        <v>37.049629503705</v>
      </c>
      <c r="G110" s="6" t="n">
        <f aca="false">SUMIFS(Detalle!$I$2:$I$1370,Detalle!$A$2:$A$1370,"2b65e967-object_0-1",Detalle!$B$2:$B$1370,$A110,Detalle!$C$2:$C$1370,$B110)</f>
        <v>52.2500476099791</v>
      </c>
      <c r="H110" s="6" t="n">
        <f aca="false">SUMIFS(Detalle!$I$2:$I$1370,Detalle!$A$2:$A$1370,"5ed925a3-object_2",Detalle!$B$2:$B$1370,$A110,Detalle!$C$2:$C$1370,$B110)</f>
        <v>51.3000379719008</v>
      </c>
      <c r="I110" s="6" t="n">
        <f aca="false">SUMIFS(Detalle!$I$2:$I$1370,Detalle!$A$2:$A$1370,"70ef0058-object_0",Detalle!$B$2:$B$1370,$A110,Detalle!$C$2:$C$1370,$B110)</f>
        <v>47.5004753374896</v>
      </c>
      <c r="J110" s="6" t="n">
        <f aca="false">SUMIFS(Detalle!$I$2:$I$1370,Detalle!$A$2:$A$1370,"80c13944-object_3",Detalle!$B$2:$B$1370,$A110,Detalle!$C$2:$C$1370,$B110)</f>
        <v>52.2499523814298</v>
      </c>
      <c r="K110" s="6" t="n">
        <f aca="false">SUMIFS(Detalle!$I$2:$I$1370,Detalle!$A$2:$A$1370,"fba550bc-object_1",Detalle!$B$2:$B$1370,$A110,Detalle!$C$2:$C$1370,$B110)</f>
        <v>52.2497623455246</v>
      </c>
      <c r="L110" s="6" t="n">
        <f aca="false">SUMIFS(Detalle!$I$2:$I$1370,Detalle!$A$2:$A$1370,"38448021-object_5",Detalle!$B$2:$B$1370,$A110,Detalle!$C$2:$C$1370,$B110)</f>
        <v>28.4999050161473</v>
      </c>
      <c r="M110" s="5"/>
    </row>
    <row r="111" customFormat="false" ht="15" hidden="false" customHeight="false" outlineLevel="0" collapsed="false">
      <c r="A111" s="5" t="s">
        <v>114</v>
      </c>
      <c r="B111" s="5" t="s">
        <v>134</v>
      </c>
      <c r="C111" s="6" t="n">
        <f aca="false">SUMIFS(Detalle!$I$2:$I$1370,Detalle!$A$2:$A$1370,"2a3facb9-object_2",Detalle!$B$2:$B$1370,$A111,Detalle!$C$2:$C$1370,$B111)</f>
        <v>24.0229770856647</v>
      </c>
      <c r="D111" s="6" t="n">
        <f aca="false">SUMIFS(Detalle!$I$2:$I$1370,Detalle!$A$2:$A$1370,"2f639739-object_1",Detalle!$B$2:$B$1370,$A111,Detalle!$C$2:$C$1370,$B111)</f>
        <v>52.5251325535476</v>
      </c>
      <c r="E111" s="6" t="n">
        <f aca="false">SUMIFS(Detalle!$I$2:$I$1370,Detalle!$A$2:$A$1370,"5dc9e0d5-object_0",Detalle!$B$2:$B$1370,$A111,Detalle!$C$2:$C$1370,$B111)</f>
        <v>59.1187342421264</v>
      </c>
      <c r="F111" s="6" t="n">
        <f aca="false">SUMIFS(Detalle!$I$2:$I$1370,Detalle!$A$2:$A$1370,"a501b501-object_3",Detalle!$B$2:$B$1370,$A111,Detalle!$C$2:$C$1370,$B111)</f>
        <v>39.3419565804342</v>
      </c>
      <c r="G111" s="6" t="n">
        <f aca="false">SUMIFS(Detalle!$I$2:$I$1370,Detalle!$A$2:$A$1370,"2b65e967-object_0-1",Detalle!$B$2:$B$1370,$A111,Detalle!$C$2:$C$1370,$B111)</f>
        <v>17.1195962673776</v>
      </c>
      <c r="H111" s="6" t="n">
        <f aca="false">SUMIFS(Detalle!$I$2:$I$1370,Detalle!$A$2:$A$1370,"5ed925a3-object_2",Detalle!$B$2:$B$1370,$A111,Detalle!$C$2:$C$1370,$B111)</f>
        <v>20.2731978336031</v>
      </c>
      <c r="I111" s="6" t="n">
        <f aca="false">SUMIFS(Detalle!$I$2:$I$1370,Detalle!$A$2:$A$1370,"70ef0058-object_0",Detalle!$B$2:$B$1370,$A111,Detalle!$C$2:$C$1370,$B111)</f>
        <v>28.4194778292588</v>
      </c>
      <c r="J111" s="6" t="n">
        <f aca="false">SUMIFS(Detalle!$I$2:$I$1370,Detalle!$A$2:$A$1370,"80c13944-object_3",Detalle!$B$2:$B$1370,$A111,Detalle!$C$2:$C$1370,$B111)</f>
        <v>16.412216418883</v>
      </c>
      <c r="K111" s="6" t="n">
        <f aca="false">SUMIFS(Detalle!$I$2:$I$1370,Detalle!$A$2:$A$1370,"fba550bc-object_1",Detalle!$B$2:$B$1370,$A111,Detalle!$C$2:$C$1370,$B111)</f>
        <v>18.3725921849202</v>
      </c>
      <c r="L111" s="6" t="n">
        <f aca="false">SUMIFS(Detalle!$I$2:$I$1370,Detalle!$A$2:$A$1370,"38448021-object_5",Detalle!$B$2:$B$1370,$A111,Detalle!$C$2:$C$1370,$B111)</f>
        <v>54.4048511753002</v>
      </c>
      <c r="M111" s="5"/>
    </row>
    <row r="112" customFormat="false" ht="15" hidden="false" customHeight="false" outlineLevel="0" collapsed="false">
      <c r="A112" s="5" t="s">
        <v>114</v>
      </c>
      <c r="B112" s="5" t="s">
        <v>135</v>
      </c>
      <c r="C112" s="6" t="n">
        <f aca="false">SUMIFS(Detalle!$I$2:$I$1370,Detalle!$A$2:$A$1370,"2a3facb9-object_2",Detalle!$B$2:$B$1370,$A112,Detalle!$C$2:$C$1370,$B112)</f>
        <v>13.0124873192006</v>
      </c>
      <c r="D112" s="6" t="n">
        <f aca="false">SUMIFS(Detalle!$I$2:$I$1370,Detalle!$A$2:$A$1370,"2f639739-object_1",Detalle!$B$2:$B$1370,$A112,Detalle!$C$2:$C$1370,$B112)</f>
        <v>11.270960499544</v>
      </c>
      <c r="E112" s="6" t="n">
        <f aca="false">SUMIFS(Detalle!$I$2:$I$1370,Detalle!$A$2:$A$1370,"5dc9e0d5-object_0",Detalle!$B$2:$B$1370,$A112,Detalle!$C$2:$C$1370,$B112)</f>
        <v>11.9901927268065</v>
      </c>
      <c r="F112" s="6" t="n">
        <f aca="false">SUMIFS(Detalle!$I$2:$I$1370,Detalle!$A$2:$A$1370,"a501b501-object_3",Detalle!$B$2:$B$1370,$A112,Detalle!$C$2:$C$1370,$B112)</f>
        <v>10.1363986360136</v>
      </c>
      <c r="G112" s="6" t="n">
        <f aca="false">SUMIFS(Detalle!$I$2:$I$1370,Detalle!$A$2:$A$1370,"2b65e967-object_0-1",Detalle!$B$2:$B$1370,$A112,Detalle!$C$2:$C$1370,$B112)</f>
        <v>11.478765949343</v>
      </c>
      <c r="H112" s="6" t="n">
        <f aca="false">SUMIFS(Detalle!$I$2:$I$1370,Detalle!$A$2:$A$1370,"5ed925a3-object_2",Detalle!$B$2:$B$1370,$A112,Detalle!$C$2:$C$1370,$B112)</f>
        <v>11.2263924695725</v>
      </c>
      <c r="I112" s="6" t="n">
        <f aca="false">SUMIFS(Detalle!$I$2:$I$1370,Detalle!$A$2:$A$1370,"70ef0058-object_0",Detalle!$B$2:$B$1370,$A112,Detalle!$C$2:$C$1370,$B112)</f>
        <v>12.9653053668104</v>
      </c>
      <c r="J112" s="6" t="n">
        <f aca="false">SUMIFS(Detalle!$I$2:$I$1370,Detalle!$A$2:$A$1370,"80c13944-object_3",Detalle!$B$2:$B$1370,$A112,Detalle!$C$2:$C$1370,$B112)</f>
        <v>11.4322663431946</v>
      </c>
      <c r="K112" s="6" t="n">
        <f aca="false">SUMIFS(Detalle!$I$2:$I$1370,Detalle!$A$2:$A$1370,"fba550bc-object_1",Detalle!$B$2:$B$1370,$A112,Detalle!$C$2:$C$1370,$B112)</f>
        <v>11.2534147195677</v>
      </c>
      <c r="L112" s="6" t="n">
        <f aca="false">SUMIFS(Detalle!$I$2:$I$1370,Detalle!$A$2:$A$1370,"38448021-object_5",Detalle!$B$2:$B$1370,$A112,Detalle!$C$2:$C$1370,$B112)</f>
        <v>18.5826409510383</v>
      </c>
      <c r="M112" s="5"/>
    </row>
    <row r="113" customFormat="false" ht="15" hidden="false" customHeight="false" outlineLevel="0" collapsed="false">
      <c r="A113" s="5" t="s">
        <v>114</v>
      </c>
      <c r="B113" s="5" t="s">
        <v>136</v>
      </c>
      <c r="C113" s="6" t="n">
        <f aca="false">SUMIFS(Detalle!$I$2:$I$1370,Detalle!$A$2:$A$1370,"2a3facb9-object_2",Detalle!$B$2:$B$1370,$A113,Detalle!$C$2:$C$1370,$B113)</f>
        <v>71.3406611794974</v>
      </c>
      <c r="D113" s="6" t="n">
        <f aca="false">SUMIFS(Detalle!$I$2:$I$1370,Detalle!$A$2:$A$1370,"2f639739-object_1",Detalle!$B$2:$B$1370,$A113,Detalle!$C$2:$C$1370,$B113)</f>
        <v>139.601086488058</v>
      </c>
      <c r="E113" s="6" t="n">
        <f aca="false">SUMIFS(Detalle!$I$2:$I$1370,Detalle!$A$2:$A$1370,"5dc9e0d5-object_0",Detalle!$B$2:$B$1370,$A113,Detalle!$C$2:$C$1370,$B113)</f>
        <v>150.009347891116</v>
      </c>
      <c r="F113" s="6" t="n">
        <f aca="false">SUMIFS(Detalle!$I$2:$I$1370,Detalle!$A$2:$A$1370,"a501b501-object_3",Detalle!$B$2:$B$1370,$A113,Detalle!$C$2:$C$1370,$B113)</f>
        <v>104.549304506955</v>
      </c>
      <c r="G113" s="6" t="n">
        <f aca="false">SUMIFS(Detalle!$I$2:$I$1370,Detalle!$A$2:$A$1370,"2b65e967-object_0-1",Detalle!$B$2:$B$1370,$A113,Detalle!$C$2:$C$1370,$B113)</f>
        <v>54.5058084174443</v>
      </c>
      <c r="H113" s="6" t="n">
        <f aca="false">SUMIFS(Detalle!$I$2:$I$1370,Detalle!$A$2:$A$1370,"5ed925a3-object_2",Detalle!$B$2:$B$1370,$A113,Detalle!$C$2:$C$1370,$B113)</f>
        <v>50.1466414853009</v>
      </c>
      <c r="I113" s="6" t="n">
        <f aca="false">SUMIFS(Detalle!$I$2:$I$1370,Detalle!$A$2:$A$1370,"70ef0058-object_0",Detalle!$B$2:$B$1370,$A113,Detalle!$C$2:$C$1370,$B113)</f>
        <v>75.9151997918522</v>
      </c>
      <c r="J113" s="6" t="n">
        <f aca="false">SUMIFS(Detalle!$I$2:$I$1370,Detalle!$A$2:$A$1370,"80c13944-object_3",Detalle!$B$2:$B$1370,$A113,Detalle!$C$2:$C$1370,$B113)</f>
        <v>50.3442572004291</v>
      </c>
      <c r="K113" s="6" t="n">
        <f aca="false">SUMIFS(Detalle!$I$2:$I$1370,Detalle!$A$2:$A$1370,"fba550bc-object_1",Detalle!$B$2:$B$1370,$A113,Detalle!$C$2:$C$1370,$B113)</f>
        <v>48.9834392355031</v>
      </c>
      <c r="L113" s="6" t="n">
        <f aca="false">SUMIFS(Detalle!$I$2:$I$1370,Detalle!$A$2:$A$1370,"38448021-object_5",Detalle!$B$2:$B$1370,$A113,Detalle!$C$2:$C$1370,$B113)</f>
        <v>124.546627073398</v>
      </c>
      <c r="M113" s="5"/>
    </row>
    <row r="114" customFormat="false" ht="15" hidden="false" customHeight="false" outlineLevel="0" collapsed="false">
      <c r="A114" s="5" t="s">
        <v>114</v>
      </c>
      <c r="B114" s="5" t="s">
        <v>137</v>
      </c>
      <c r="C114" s="6" t="n">
        <f aca="false">SUMIFS(Detalle!$I$2:$I$1370,Detalle!$A$2:$A$1370,"2a3facb9-object_2",Detalle!$B$2:$B$1370,$A114,Detalle!$C$2:$C$1370,$B114)</f>
        <v>60.4712551115387</v>
      </c>
      <c r="D114" s="6" t="n">
        <f aca="false">SUMIFS(Detalle!$I$2:$I$1370,Detalle!$A$2:$A$1370,"2f639739-object_1",Detalle!$B$2:$B$1370,$A114,Detalle!$C$2:$C$1370,$B114)</f>
        <v>52.5251325535476</v>
      </c>
      <c r="E114" s="6" t="n">
        <f aca="false">SUMIFS(Detalle!$I$2:$I$1370,Detalle!$A$2:$A$1370,"5dc9e0d5-object_0",Detalle!$B$2:$B$1370,$A114,Detalle!$C$2:$C$1370,$B114)</f>
        <v>59.1187342421264</v>
      </c>
      <c r="F114" s="6" t="n">
        <f aca="false">SUMIFS(Detalle!$I$2:$I$1370,Detalle!$A$2:$A$1370,"a501b501-object_3",Detalle!$B$2:$B$1370,$A114,Detalle!$C$2:$C$1370,$B114)</f>
        <v>39.3419565804342</v>
      </c>
      <c r="G114" s="6" t="n">
        <f aca="false">SUMIFS(Detalle!$I$2:$I$1370,Detalle!$A$2:$A$1370,"2b65e967-object_0-1",Detalle!$B$2:$B$1370,$A114,Detalle!$C$2:$C$1370,$B114)</f>
        <v>25.9017330032375</v>
      </c>
      <c r="H114" s="6" t="n">
        <f aca="false">SUMIFS(Detalle!$I$2:$I$1370,Detalle!$A$2:$A$1370,"5ed925a3-object_2",Detalle!$B$2:$B$1370,$A114,Detalle!$C$2:$C$1370,$B114)</f>
        <v>20.2731978336031</v>
      </c>
      <c r="I114" s="6" t="n">
        <f aca="false">SUMIFS(Detalle!$I$2:$I$1370,Detalle!$A$2:$A$1370,"70ef0058-object_0",Detalle!$B$2:$B$1370,$A114,Detalle!$C$2:$C$1370,$B114)</f>
        <v>28.4194778292588</v>
      </c>
      <c r="J114" s="6" t="n">
        <f aca="false">SUMIFS(Detalle!$I$2:$I$1370,Detalle!$A$2:$A$1370,"80c13944-object_3",Detalle!$B$2:$B$1370,$A114,Detalle!$C$2:$C$1370,$B114)</f>
        <v>16.412216418883</v>
      </c>
      <c r="K114" s="6" t="n">
        <f aca="false">SUMIFS(Detalle!$I$2:$I$1370,Detalle!$A$2:$A$1370,"fba550bc-object_1",Detalle!$B$2:$B$1370,$A114,Detalle!$C$2:$C$1370,$B114)</f>
        <v>18.3725921849202</v>
      </c>
      <c r="L114" s="6" t="n">
        <f aca="false">SUMIFS(Detalle!$I$2:$I$1370,Detalle!$A$2:$A$1370,"38448021-object_5",Detalle!$B$2:$B$1370,$A114,Detalle!$C$2:$C$1370,$B114)</f>
        <v>54.4048511753002</v>
      </c>
      <c r="M114" s="5"/>
    </row>
    <row r="115" customFormat="false" ht="15" hidden="false" customHeight="false" outlineLevel="0" collapsed="false">
      <c r="A115" s="5" t="s">
        <v>114</v>
      </c>
      <c r="B115" s="5" t="s">
        <v>138</v>
      </c>
      <c r="C115" s="6" t="n">
        <f aca="false">SUMIFS(Detalle!$I$2:$I$1370,Detalle!$A$2:$A$1370,"2a3facb9-object_2",Detalle!$B$2:$B$1370,$A115,Detalle!$C$2:$C$1370,$B115)</f>
        <v>5</v>
      </c>
      <c r="D115" s="6" t="n">
        <f aca="false">SUMIFS(Detalle!$I$2:$I$1370,Detalle!$A$2:$A$1370,"2f639739-object_1",Detalle!$B$2:$B$1370,$A115,Detalle!$C$2:$C$1370,$B115)</f>
        <v>1</v>
      </c>
      <c r="E115" s="6" t="n">
        <f aca="false">SUMIFS(Detalle!$I$2:$I$1370,Detalle!$A$2:$A$1370,"5dc9e0d5-object_0",Detalle!$B$2:$B$1370,$A115,Detalle!$C$2:$C$1370,$B115)</f>
        <v>3</v>
      </c>
      <c r="F115" s="6" t="n">
        <f aca="false">SUMIFS(Detalle!$I$2:$I$1370,Detalle!$A$2:$A$1370,"a501b501-object_3",Detalle!$B$2:$B$1370,$A115,Detalle!$C$2:$C$1370,$B115)</f>
        <v>1</v>
      </c>
      <c r="G115" s="6" t="n">
        <f aca="false">SUMIFS(Detalle!$I$2:$I$1370,Detalle!$A$2:$A$1370,"2b65e967-object_0-1",Detalle!$B$2:$B$1370,$A115,Detalle!$C$2:$C$1370,$B115)</f>
        <v>7</v>
      </c>
      <c r="H115" s="6" t="n">
        <f aca="false">SUMIFS(Detalle!$I$2:$I$1370,Detalle!$A$2:$A$1370,"5ed925a3-object_2",Detalle!$B$2:$B$1370,$A115,Detalle!$C$2:$C$1370,$B115)</f>
        <v>2</v>
      </c>
      <c r="I115" s="6" t="n">
        <f aca="false">SUMIFS(Detalle!$I$2:$I$1370,Detalle!$A$2:$A$1370,"70ef0058-object_0",Detalle!$B$2:$B$1370,$A115,Detalle!$C$2:$C$1370,$B115)</f>
        <v>1</v>
      </c>
      <c r="J115" s="6" t="n">
        <f aca="false">SUMIFS(Detalle!$I$2:$I$1370,Detalle!$A$2:$A$1370,"80c13944-object_3",Detalle!$B$2:$B$1370,$A115,Detalle!$C$2:$C$1370,$B115)</f>
        <v>3</v>
      </c>
      <c r="K115" s="6" t="n">
        <f aca="false">SUMIFS(Detalle!$I$2:$I$1370,Detalle!$A$2:$A$1370,"fba550bc-object_1",Detalle!$B$2:$B$1370,$A115,Detalle!$C$2:$C$1370,$B115)</f>
        <v>3</v>
      </c>
      <c r="L115" s="6" t="n">
        <f aca="false">SUMIFS(Detalle!$I$2:$I$1370,Detalle!$A$2:$A$1370,"38448021-object_5",Detalle!$B$2:$B$1370,$A115,Detalle!$C$2:$C$1370,$B115)</f>
        <v>6</v>
      </c>
      <c r="M115" s="5"/>
    </row>
    <row r="116" customFormat="false" ht="15" hidden="false" customHeight="false" outlineLevel="0" collapsed="false">
      <c r="A116" s="7" t="s">
        <v>139</v>
      </c>
      <c r="B116" s="7" t="s">
        <v>140</v>
      </c>
      <c r="C116" s="8" t="n">
        <f aca="false">SUMIFS(Detalle!$I$2:$I$1370,Detalle!$A$2:$A$1370,"2a3facb9-object_2",Detalle!$B$2:$B$1370,$A116,Detalle!$C$2:$C$1370,$B116)</f>
        <v>13.3791062258803</v>
      </c>
      <c r="D116" s="8" t="n">
        <f aca="false">SUMIFS(Detalle!$I$2:$I$1370,Detalle!$A$2:$A$1370,"2f639739-object_1",Detalle!$B$2:$B$1370,$A116,Detalle!$C$2:$C$1370,$B116)</f>
        <v>1.33305269066162</v>
      </c>
      <c r="E116" s="8" t="n">
        <f aca="false">SUMIFS(Detalle!$I$2:$I$1370,Detalle!$A$2:$A$1370,"5dc9e0d5-object_0",Detalle!$B$2:$B$1370,$A116,Detalle!$C$2:$C$1370,$B116)</f>
        <v>4.84215418144524</v>
      </c>
      <c r="F116" s="7"/>
      <c r="G116" s="7"/>
      <c r="H116" s="7"/>
      <c r="I116" s="7"/>
      <c r="J116" s="7"/>
      <c r="K116" s="7"/>
      <c r="L116" s="7"/>
      <c r="M116" s="7"/>
    </row>
    <row r="117" customFormat="false" ht="15" hidden="false" customHeight="false" outlineLevel="0" collapsed="false">
      <c r="A117" s="7" t="s">
        <v>139</v>
      </c>
      <c r="B117" s="7" t="s">
        <v>141</v>
      </c>
      <c r="C117" s="8" t="n">
        <f aca="false">SUMIFS(Detalle!$I$2:$I$1370,Detalle!$A$2:$A$1370,"2a3facb9-object_2",Detalle!$B$2:$B$1370,$A117,Detalle!$C$2:$C$1370,$B117)</f>
        <v>10.6438708597843</v>
      </c>
      <c r="D117" s="8" t="n">
        <f aca="false">SUMIFS(Detalle!$I$2:$I$1370,Detalle!$A$2:$A$1370,"2f639739-object_1",Detalle!$B$2:$B$1370,$A117,Detalle!$C$2:$C$1370,$B117)</f>
        <v>2.86035020196249</v>
      </c>
      <c r="E117" s="8" t="n">
        <f aca="false">SUMIFS(Detalle!$I$2:$I$1370,Detalle!$A$2:$A$1370,"5dc9e0d5-object_0",Detalle!$B$2:$B$1370,$A117,Detalle!$C$2:$C$1370,$B117)</f>
        <v>6.20924319473527</v>
      </c>
      <c r="F117" s="7"/>
      <c r="G117" s="7"/>
      <c r="H117" s="7"/>
      <c r="I117" s="7"/>
      <c r="J117" s="7"/>
      <c r="K117" s="7"/>
      <c r="L117" s="7"/>
      <c r="M117" s="7"/>
    </row>
    <row r="118" customFormat="false" ht="15" hidden="false" customHeight="false" outlineLevel="0" collapsed="false">
      <c r="A118" s="7" t="s">
        <v>139</v>
      </c>
      <c r="B118" s="7" t="s">
        <v>142</v>
      </c>
      <c r="C118" s="8" t="n">
        <f aca="false">SUMIFS(Detalle!$I$2:$I$1370,Detalle!$A$2:$A$1370,"2a3facb9-object_2",Detalle!$B$2:$B$1370,$A118,Detalle!$C$2:$C$1370,$B118)</f>
        <v>2.59415166759049</v>
      </c>
      <c r="D118" s="8" t="n">
        <f aca="false">SUMIFS(Detalle!$I$2:$I$1370,Detalle!$A$2:$A$1370,"2f639739-object_1",Detalle!$B$2:$B$1370,$A118,Detalle!$C$2:$C$1370,$B118)</f>
        <v>0.269467079612312</v>
      </c>
      <c r="E118" s="8" t="n">
        <f aca="false">SUMIFS(Detalle!$I$2:$I$1370,Detalle!$A$2:$A$1370,"5dc9e0d5-object_0",Detalle!$B$2:$B$1370,$A118,Detalle!$C$2:$C$1370,$B118)</f>
        <v>1.43914789966241</v>
      </c>
      <c r="F118" s="7"/>
      <c r="G118" s="7"/>
      <c r="H118" s="7"/>
      <c r="I118" s="7"/>
      <c r="J118" s="7"/>
      <c r="K118" s="7"/>
      <c r="L118" s="7"/>
      <c r="M118" s="7"/>
    </row>
    <row r="119" customFormat="false" ht="15" hidden="false" customHeight="false" outlineLevel="0" collapsed="false">
      <c r="A119" s="5" t="s">
        <v>143</v>
      </c>
      <c r="B119" s="5" t="s">
        <v>144</v>
      </c>
      <c r="C119" s="6" t="n">
        <f aca="false">SUMIFS(Detalle!$I$2:$I$1370,Detalle!$A$2:$A$1370,"2a3facb9-object_2",Detalle!$B$2:$B$1370,$A119,Detalle!$C$2:$C$1370,$B119)</f>
        <v>43.6495079326898</v>
      </c>
      <c r="D119" s="6" t="n">
        <f aca="false">SUMIFS(Detalle!$I$2:$I$1370,Detalle!$A$2:$A$1370,"2f639739-object_1",Detalle!$B$2:$B$1370,$A119,Detalle!$C$2:$C$1370,$B119)</f>
        <v>32.1522787182648</v>
      </c>
      <c r="E119" s="6" t="n">
        <f aca="false">SUMIFS(Detalle!$I$2:$I$1370,Detalle!$A$2:$A$1370,"5dc9e0d5-object_0",Detalle!$B$2:$B$1370,$A119,Detalle!$C$2:$C$1370,$B119)</f>
        <v>34.3538203495577</v>
      </c>
      <c r="F119" s="5"/>
      <c r="G119" s="5"/>
      <c r="H119" s="5"/>
      <c r="I119" s="5"/>
      <c r="J119" s="5"/>
      <c r="K119" s="5"/>
      <c r="L119" s="5"/>
      <c r="M119" s="5"/>
    </row>
    <row r="120" customFormat="false" ht="15" hidden="false" customHeight="false" outlineLevel="0" collapsed="false">
      <c r="A120" s="5" t="s">
        <v>143</v>
      </c>
      <c r="B120" s="5" t="s">
        <v>145</v>
      </c>
      <c r="C120" s="6" t="n">
        <f aca="false">SUMIFS(Detalle!$I$2:$I$1370,Detalle!$A$2:$A$1370,"2a3facb9-object_2",Detalle!$B$2:$B$1370,$A120,Detalle!$C$2:$C$1370,$B120)</f>
        <v>30.2704017068095</v>
      </c>
      <c r="D120" s="6" t="n">
        <f aca="false">SUMIFS(Detalle!$I$2:$I$1370,Detalle!$A$2:$A$1370,"2f639739-object_1",Detalle!$B$2:$B$1370,$A120,Detalle!$C$2:$C$1370,$B120)</f>
        <v>30.8201782080965</v>
      </c>
      <c r="E120" s="6" t="n">
        <f aca="false">SUMIFS(Detalle!$I$2:$I$1370,Detalle!$A$2:$A$1370,"5dc9e0d5-object_0",Detalle!$B$2:$B$1370,$A120,Detalle!$C$2:$C$1370,$B120)</f>
        <v>29.5116661681125</v>
      </c>
      <c r="F120" s="5"/>
      <c r="G120" s="5"/>
      <c r="H120" s="5"/>
      <c r="I120" s="5"/>
      <c r="J120" s="5"/>
      <c r="K120" s="5"/>
      <c r="L120" s="5"/>
      <c r="M120" s="5"/>
    </row>
    <row r="121" customFormat="false" ht="15" hidden="false" customHeight="false" outlineLevel="0" collapsed="false">
      <c r="A121" s="5" t="s">
        <v>143</v>
      </c>
      <c r="B121" s="5" t="s">
        <v>146</v>
      </c>
      <c r="C121" s="6" t="n">
        <f aca="false">SUMIFS(Detalle!$I$2:$I$1370,Detalle!$A$2:$A$1370,"2a3facb9-object_2",Detalle!$B$2:$B$1370,$A121,Detalle!$C$2:$C$1370,$B121)</f>
        <v>29.4248930629491</v>
      </c>
      <c r="D121" s="6" t="n">
        <f aca="false">SUMIFS(Detalle!$I$2:$I$1370,Detalle!$A$2:$A$1370,"2f639739-object_1",Detalle!$B$2:$B$1370,$A121,Detalle!$C$2:$C$1370,$B121)</f>
        <v>20.8146655841878</v>
      </c>
      <c r="E121" s="6" t="n">
        <f aca="false">SUMIFS(Detalle!$I$2:$I$1370,Detalle!$A$2:$A$1370,"5dc9e0d5-object_0",Detalle!$B$2:$B$1370,$A121,Detalle!$C$2:$C$1370,$B121)</f>
        <v>20.98029998718</v>
      </c>
      <c r="F121" s="5"/>
      <c r="G121" s="5"/>
      <c r="H121" s="5"/>
      <c r="I121" s="5"/>
      <c r="J121" s="5"/>
      <c r="K121" s="5"/>
      <c r="L121" s="5"/>
      <c r="M121" s="5"/>
    </row>
    <row r="122" customFormat="false" ht="15" hidden="false" customHeight="false" outlineLevel="0" collapsed="false">
      <c r="A122" s="5" t="s">
        <v>143</v>
      </c>
      <c r="B122" s="5" t="s">
        <v>147</v>
      </c>
      <c r="C122" s="6" t="n">
        <f aca="false">SUMIFS(Detalle!$I$2:$I$1370,Detalle!$A$2:$A$1370,"2a3facb9-object_2",Detalle!$B$2:$B$1370,$A122,Detalle!$C$2:$C$1370,$B122)</f>
        <v>16.0457868370687</v>
      </c>
      <c r="D122" s="6" t="n">
        <f aca="false">SUMIFS(Detalle!$I$2:$I$1370,Detalle!$A$2:$A$1370,"2f639739-object_1",Detalle!$B$2:$B$1370,$A122,Detalle!$C$2:$C$1370,$B122)</f>
        <v>19.4816128935262</v>
      </c>
      <c r="E122" s="6" t="n">
        <f aca="false">SUMIFS(Detalle!$I$2:$I$1370,Detalle!$A$2:$A$1370,"5dc9e0d5-object_0",Detalle!$B$2:$B$1370,$A122,Detalle!$C$2:$C$1370,$B122)</f>
        <v>16.1381458057348</v>
      </c>
      <c r="F122" s="5"/>
      <c r="G122" s="5"/>
      <c r="H122" s="5"/>
      <c r="I122" s="5"/>
      <c r="J122" s="5"/>
      <c r="K122" s="5"/>
      <c r="L122" s="5"/>
      <c r="M122" s="5"/>
    </row>
    <row r="123" customFormat="false" ht="15" hidden="false" customHeight="false" outlineLevel="0" collapsed="false">
      <c r="A123" s="5" t="s">
        <v>143</v>
      </c>
      <c r="B123" s="5" t="s">
        <v>148</v>
      </c>
      <c r="C123" s="6" t="n">
        <f aca="false">SUMIFS(Detalle!$I$2:$I$1370,Detalle!$A$2:$A$1370,"2a3facb9-object_2",Detalle!$B$2:$B$1370,$A123,Detalle!$C$2:$C$1370,$B123)</f>
        <v>12.8644487904871</v>
      </c>
      <c r="D123" s="6" t="n">
        <f aca="false">SUMIFS(Detalle!$I$2:$I$1370,Detalle!$A$2:$A$1370,"2f639739-object_1",Detalle!$B$2:$B$1370,$A123,Detalle!$C$2:$C$1370,$B123)</f>
        <v>12.8887151577112</v>
      </c>
      <c r="E123" s="6" t="n">
        <f aca="false">SUMIFS(Detalle!$I$2:$I$1370,Detalle!$A$2:$A$1370,"5dc9e0d5-object_0",Detalle!$B$2:$B$1370,$A123,Detalle!$C$2:$C$1370,$B123)</f>
        <v>12.6986026238195</v>
      </c>
      <c r="F123" s="5"/>
      <c r="G123" s="5"/>
      <c r="H123" s="5"/>
      <c r="I123" s="5"/>
      <c r="J123" s="5"/>
      <c r="K123" s="5"/>
      <c r="L123" s="5"/>
      <c r="M123" s="5"/>
    </row>
    <row r="124" customFormat="false" ht="15" hidden="false" customHeight="false" outlineLevel="0" collapsed="false">
      <c r="A124" s="5" t="s">
        <v>143</v>
      </c>
      <c r="B124" s="5" t="s">
        <v>149</v>
      </c>
      <c r="C124" s="6" t="n">
        <f aca="false">SUMIFS(Detalle!$I$2:$I$1370,Detalle!$A$2:$A$1370,"2a3facb9-object_2",Detalle!$B$2:$B$1370,$A124,Detalle!$C$2:$C$1370,$B124)</f>
        <v>11.2529152765722</v>
      </c>
      <c r="D124" s="6" t="n">
        <f aca="false">SUMIFS(Detalle!$I$2:$I$1370,Detalle!$A$2:$A$1370,"2f639739-object_1",Detalle!$B$2:$B$1370,$A124,Detalle!$C$2:$C$1370,$B124)</f>
        <v>13.0029768169107</v>
      </c>
      <c r="E124" s="6" t="n">
        <f aca="false">SUMIFS(Detalle!$I$2:$I$1370,Detalle!$A$2:$A$1370,"5dc9e0d5-object_0",Detalle!$B$2:$B$1370,$A124,Detalle!$C$2:$C$1370,$B124)</f>
        <v>14.4939852997735</v>
      </c>
      <c r="F124" s="5"/>
      <c r="G124" s="5"/>
      <c r="H124" s="5"/>
      <c r="I124" s="5"/>
      <c r="J124" s="5"/>
      <c r="K124" s="5"/>
      <c r="L124" s="5"/>
      <c r="M124" s="5"/>
    </row>
    <row r="125" customFormat="false" ht="15" hidden="false" customHeight="false" outlineLevel="0" collapsed="false">
      <c r="A125" s="5" t="s">
        <v>143</v>
      </c>
      <c r="B125" s="5" t="s">
        <v>150</v>
      </c>
      <c r="C125" s="6" t="n">
        <f aca="false">SUMIFS(Detalle!$I$2:$I$1370,Detalle!$A$2:$A$1370,"2a3facb9-object_2",Detalle!$B$2:$B$1370,$A125,Detalle!$C$2:$C$1370,$B125)</f>
        <v>46.1979564303419</v>
      </c>
      <c r="D125" s="6" t="n">
        <f aca="false">SUMIFS(Detalle!$I$2:$I$1370,Detalle!$A$2:$A$1370,"2f639739-object_1",Detalle!$B$2:$B$1370,$A125,Detalle!$C$2:$C$1370,$B125)</f>
        <v>44.607751751511</v>
      </c>
      <c r="E125" s="6" t="n">
        <f aca="false">SUMIFS(Detalle!$I$2:$I$1370,Detalle!$A$2:$A$1370,"5dc9e0d5-object_0",Detalle!$B$2:$B$1370,$A125,Detalle!$C$2:$C$1370,$B125)</f>
        <v>45.3290991837956</v>
      </c>
      <c r="F125" s="5"/>
      <c r="G125" s="5"/>
      <c r="H125" s="5"/>
      <c r="I125" s="5"/>
      <c r="J125" s="5"/>
      <c r="K125" s="5"/>
      <c r="L125" s="5"/>
      <c r="M125" s="5"/>
    </row>
    <row r="126" customFormat="false" ht="15" hidden="false" customHeight="false" outlineLevel="0" collapsed="false">
      <c r="A126" s="5" t="s">
        <v>143</v>
      </c>
      <c r="B126" s="5" t="s">
        <v>151</v>
      </c>
      <c r="C126" s="6" t="n">
        <f aca="false">SUMIFS(Detalle!$I$2:$I$1370,Detalle!$A$2:$A$1370,"2a3facb9-object_2",Detalle!$B$2:$B$1370,$A126,Detalle!$C$2:$C$1370,$B126)</f>
        <v>52.6301808255854</v>
      </c>
      <c r="D126" s="6" t="n">
        <f aca="false">SUMIFS(Detalle!$I$2:$I$1370,Detalle!$A$2:$A$1370,"2f639739-object_1",Detalle!$B$2:$B$1370,$A126,Detalle!$C$2:$C$1370,$B126)</f>
        <v>51.0521093303665</v>
      </c>
      <c r="E126" s="6" t="n">
        <f aca="false">SUMIFS(Detalle!$I$2:$I$1370,Detalle!$A$2:$A$1370,"5dc9e0d5-object_0",Detalle!$B$2:$B$1370,$A126,Detalle!$C$2:$C$1370,$B126)</f>
        <v>51.6784004957053</v>
      </c>
      <c r="F126" s="5"/>
      <c r="G126" s="5"/>
      <c r="H126" s="5"/>
      <c r="I126" s="5"/>
      <c r="J126" s="5"/>
      <c r="K126" s="5"/>
      <c r="L126" s="5"/>
      <c r="M126" s="5"/>
    </row>
    <row r="127" customFormat="false" ht="15" hidden="false" customHeight="false" outlineLevel="0" collapsed="false">
      <c r="A127" s="5" t="s">
        <v>143</v>
      </c>
      <c r="B127" s="5" t="s">
        <v>152</v>
      </c>
      <c r="C127" s="6" t="n">
        <f aca="false">SUMIFS(Detalle!$I$2:$I$1370,Detalle!$A$2:$A$1370,"2a3facb9-object_2",Detalle!$B$2:$B$1370,$A127,Detalle!$C$2:$C$1370,$B127)</f>
        <v>39.7657320350984</v>
      </c>
      <c r="D127" s="6" t="n">
        <f aca="false">SUMIFS(Detalle!$I$2:$I$1370,Detalle!$A$2:$A$1370,"2f639739-object_1",Detalle!$B$2:$B$1370,$A127,Detalle!$C$2:$C$1370,$B127)</f>
        <v>38.1633941726554</v>
      </c>
      <c r="E127" s="6" t="n">
        <f aca="false">SUMIFS(Detalle!$I$2:$I$1370,Detalle!$A$2:$A$1370,"5dc9e0d5-object_0",Detalle!$B$2:$B$1370,$A127,Detalle!$C$2:$C$1370,$B127)</f>
        <v>38.9797978718858</v>
      </c>
      <c r="F127" s="5"/>
      <c r="G127" s="5"/>
      <c r="H127" s="5"/>
      <c r="I127" s="5"/>
      <c r="J127" s="5"/>
      <c r="K127" s="5"/>
      <c r="L127" s="5"/>
      <c r="M127" s="5"/>
    </row>
    <row r="128" customFormat="false" ht="15" hidden="false" customHeight="false" outlineLevel="0" collapsed="false">
      <c r="A128" s="5" t="s">
        <v>143</v>
      </c>
      <c r="B128" s="5" t="s">
        <v>153</v>
      </c>
      <c r="C128" s="6" t="n">
        <f aca="false">SUMIFS(Detalle!$I$2:$I$1370,Detalle!$A$2:$A$1370,"2a3facb9-object_2",Detalle!$B$2:$B$1370,$A128,Detalle!$C$2:$C$1370,$B128)</f>
        <v>11.586747126557</v>
      </c>
      <c r="D128" s="6" t="n">
        <f aca="false">SUMIFS(Detalle!$I$2:$I$1370,Detalle!$A$2:$A$1370,"2f639739-object_1",Detalle!$B$2:$B$1370,$A128,Detalle!$C$2:$C$1370,$B128)</f>
        <v>10.4511330947871</v>
      </c>
      <c r="E128" s="6" t="n">
        <f aca="false">SUMIFS(Detalle!$I$2:$I$1370,Detalle!$A$2:$A$1370,"5dc9e0d5-object_0",Detalle!$B$2:$B$1370,$A128,Detalle!$C$2:$C$1370,$B128)</f>
        <v>10.7794004529721</v>
      </c>
      <c r="F128" s="5"/>
      <c r="G128" s="5"/>
      <c r="H128" s="5"/>
      <c r="I128" s="5"/>
      <c r="J128" s="5"/>
      <c r="K128" s="5"/>
      <c r="L128" s="5"/>
      <c r="M128" s="5"/>
    </row>
    <row r="129" customFormat="false" ht="15" hidden="false" customHeight="false" outlineLevel="0" collapsed="false">
      <c r="A129" s="5" t="s">
        <v>143</v>
      </c>
      <c r="B129" s="5" t="s">
        <v>154</v>
      </c>
      <c r="C129" s="6" t="n">
        <f aca="false">SUMIFS(Detalle!$I$2:$I$1370,Detalle!$A$2:$A$1370,"2a3facb9-object_2",Detalle!$B$2:$B$1370,$A129,Detalle!$C$2:$C$1370,$B129)</f>
        <v>9.18832425196356</v>
      </c>
      <c r="D129" s="6" t="n">
        <f aca="false">SUMIFS(Detalle!$I$2:$I$1370,Detalle!$A$2:$A$1370,"2f639739-object_1",Detalle!$B$2:$B$1370,$A129,Detalle!$C$2:$C$1370,$B129)</f>
        <v>10.2673622595744</v>
      </c>
      <c r="E129" s="6" t="n">
        <f aca="false">SUMIFS(Detalle!$I$2:$I$1370,Detalle!$A$2:$A$1370,"5dc9e0d5-object_0",Detalle!$B$2:$B$1370,$A129,Detalle!$C$2:$C$1370,$B129)</f>
        <v>9.19004529720952</v>
      </c>
      <c r="F129" s="5"/>
      <c r="G129" s="5"/>
      <c r="H129" s="5"/>
      <c r="I129" s="5"/>
      <c r="J129" s="5"/>
      <c r="K129" s="5"/>
      <c r="L129" s="5"/>
      <c r="M129" s="5"/>
    </row>
    <row r="130" customFormat="false" ht="15" hidden="false" customHeight="false" outlineLevel="0" collapsed="false">
      <c r="A130" s="5" t="s">
        <v>143</v>
      </c>
      <c r="B130" s="5" t="s">
        <v>155</v>
      </c>
      <c r="C130" s="6" t="n">
        <f aca="false">SUMIFS(Detalle!$I$2:$I$1370,Detalle!$A$2:$A$1370,"2a3facb9-object_2",Detalle!$B$2:$B$1370,$A130,Detalle!$C$2:$C$1370,$B130)</f>
        <v>34.3896482843009</v>
      </c>
      <c r="D130" s="6" t="n">
        <f aca="false">SUMIFS(Detalle!$I$2:$I$1370,Detalle!$A$2:$A$1370,"2f639739-object_1",Detalle!$B$2:$B$1370,$A130,Detalle!$C$2:$C$1370,$B130)</f>
        <v>33.5405578775396</v>
      </c>
      <c r="E130" s="6" t="n">
        <f aca="false">SUMIFS(Detalle!$I$2:$I$1370,Detalle!$A$2:$A$1370,"5dc9e0d5-object_0",Detalle!$B$2:$B$1370,$A130,Detalle!$C$2:$C$1370,$B130)</f>
        <v>31.795222426392</v>
      </c>
      <c r="F130" s="5"/>
      <c r="G130" s="5"/>
      <c r="H130" s="5"/>
      <c r="I130" s="5"/>
      <c r="J130" s="5"/>
      <c r="K130" s="5"/>
      <c r="L130" s="5"/>
      <c r="M130" s="5"/>
    </row>
    <row r="131" customFormat="false" ht="15" hidden="false" customHeight="false" outlineLevel="0" collapsed="false">
      <c r="A131" s="5" t="s">
        <v>143</v>
      </c>
      <c r="B131" s="5" t="s">
        <v>156</v>
      </c>
      <c r="C131" s="6" t="n">
        <f aca="false">SUMIFS(Detalle!$I$2:$I$1370,Detalle!$A$2:$A$1370,"2a3facb9-object_2",Detalle!$B$2:$B$1370,$A131,Detalle!$C$2:$C$1370,$B131)</f>
        <v>8.07455787150821</v>
      </c>
      <c r="D131" s="6" t="n">
        <f aca="false">SUMIFS(Detalle!$I$2:$I$1370,Detalle!$A$2:$A$1370,"2f639739-object_1",Detalle!$B$2:$B$1370,$A131,Detalle!$C$2:$C$1370,$B131)</f>
        <v>12.8915716991911</v>
      </c>
      <c r="E131" s="6" t="n">
        <f aca="false">SUMIFS(Detalle!$I$2:$I$1370,Detalle!$A$2:$A$1370,"5dc9e0d5-object_0",Detalle!$B$2:$B$1370,$A131,Detalle!$C$2:$C$1370,$B131)</f>
        <v>10.5551044827144</v>
      </c>
      <c r="F131" s="5"/>
      <c r="G131" s="5"/>
      <c r="H131" s="5"/>
      <c r="I131" s="5"/>
      <c r="J131" s="5"/>
      <c r="K131" s="5"/>
      <c r="L131" s="5"/>
      <c r="M131" s="5"/>
    </row>
    <row r="132" customFormat="false" ht="15" hidden="false" customHeight="false" outlineLevel="0" collapsed="false">
      <c r="A132" s="5" t="s">
        <v>143</v>
      </c>
      <c r="B132" s="5" t="s">
        <v>157</v>
      </c>
      <c r="C132" s="6" t="n">
        <f aca="false">SUMIFS(Detalle!$I$2:$I$1370,Detalle!$A$2:$A$1370,"2a3facb9-object_2",Detalle!$B$2:$B$1370,$A132,Detalle!$C$2:$C$1370,$B132)</f>
        <v>7.36516519029043</v>
      </c>
      <c r="D132" s="6" t="n">
        <f aca="false">SUMIFS(Detalle!$I$2:$I$1370,Detalle!$A$2:$A$1370,"2f639739-object_1",Detalle!$B$2:$B$1370,$A132,Detalle!$C$2:$C$1370,$B132)</f>
        <v>12.9544156117509</v>
      </c>
      <c r="E132" s="6" t="n">
        <f aca="false">SUMIFS(Detalle!$I$2:$I$1370,Detalle!$A$2:$A$1370,"5dc9e0d5-object_0",Detalle!$B$2:$B$1370,$A132,Detalle!$C$2:$C$1370,$B132)</f>
        <v>8.86730267937268</v>
      </c>
      <c r="F132" s="5"/>
      <c r="G132" s="5"/>
      <c r="H132" s="5"/>
      <c r="I132" s="5"/>
      <c r="J132" s="5"/>
      <c r="K132" s="5"/>
      <c r="L132" s="5"/>
      <c r="M132" s="5"/>
    </row>
    <row r="133" customFormat="false" ht="15" hidden="false" customHeight="false" outlineLevel="0" collapsed="false">
      <c r="A133" s="5" t="s">
        <v>143</v>
      </c>
      <c r="B133" s="5" t="s">
        <v>158</v>
      </c>
      <c r="C133" s="6" t="n">
        <f aca="false">SUMIFS(Detalle!$I$2:$I$1370,Detalle!$A$2:$A$1370,"2a3facb9-object_2",Detalle!$B$2:$B$1370,$A133,Detalle!$C$2:$C$1370,$B133)</f>
        <v>25.2112595040631</v>
      </c>
      <c r="D133" s="6" t="n">
        <f aca="false">SUMIFS(Detalle!$I$2:$I$1370,Detalle!$A$2:$A$1370,"2f639739-object_1",Detalle!$B$2:$B$1370,$A133,Detalle!$C$2:$C$1370,$B133)</f>
        <v>41.5664872558158</v>
      </c>
      <c r="E133" s="6" t="n">
        <f aca="false">SUMIFS(Detalle!$I$2:$I$1370,Detalle!$A$2:$A$1370,"5dc9e0d5-object_0",Detalle!$B$2:$B$1370,$A133,Detalle!$C$2:$C$1370,$B133)</f>
        <v>30.6483697277894</v>
      </c>
      <c r="F133" s="5"/>
      <c r="G133" s="5"/>
      <c r="H133" s="5"/>
      <c r="I133" s="5"/>
      <c r="J133" s="5"/>
      <c r="K133" s="5"/>
      <c r="L133" s="5"/>
      <c r="M133" s="5"/>
    </row>
    <row r="134" customFormat="false" ht="15" hidden="false" customHeight="false" outlineLevel="0" collapsed="false">
      <c r="A134" s="5" t="s">
        <v>143</v>
      </c>
      <c r="B134" s="5" t="s">
        <v>159</v>
      </c>
      <c r="C134" s="6" t="n">
        <f aca="false">SUMIFS(Detalle!$I$2:$I$1370,Detalle!$A$2:$A$1370,"2a3facb9-object_2",Detalle!$B$2:$B$1370,$A134,Detalle!$C$2:$C$1370,$B134)</f>
        <v>197.775500172563</v>
      </c>
      <c r="D134" s="6" t="n">
        <f aca="false">SUMIFS(Detalle!$I$2:$I$1370,Detalle!$A$2:$A$1370,"2f639739-object_1",Detalle!$B$2:$B$1370,$A134,Detalle!$C$2:$C$1370,$B134)</f>
        <v>158.098144751481</v>
      </c>
      <c r="E134" s="6" t="n">
        <f aca="false">SUMIFS(Detalle!$I$2:$I$1370,Detalle!$A$2:$A$1370,"5dc9e0d5-object_0",Detalle!$B$2:$B$1370,$A134,Detalle!$C$2:$C$1370,$B134)</f>
        <v>202.787915046366</v>
      </c>
      <c r="F134" s="5"/>
      <c r="G134" s="5"/>
      <c r="H134" s="5"/>
      <c r="I134" s="5"/>
      <c r="J134" s="5"/>
      <c r="K134" s="5"/>
      <c r="L134" s="5"/>
      <c r="M134" s="5"/>
    </row>
    <row r="135" customFormat="false" ht="15" hidden="false" customHeight="false" outlineLevel="0" collapsed="false">
      <c r="A135" s="7" t="s">
        <v>139</v>
      </c>
      <c r="B135" s="7" t="s">
        <v>160</v>
      </c>
      <c r="C135" s="8" t="n">
        <f aca="false">SUMIFS(Detalle!$I$2:$I$1370,Detalle!$A$2:$A$1370,"2a3facb9-object_2",Detalle!$B$2:$B$1370,$A135,Detalle!$C$2:$C$1370,$B135)</f>
        <v>13.4605770940314</v>
      </c>
      <c r="D135" s="8" t="n">
        <f aca="false">SUMIFS(Detalle!$I$2:$I$1370,Detalle!$A$2:$A$1370,"2f639739-object_1",Detalle!$B$2:$B$1370,$A135,Detalle!$C$2:$C$1370,$B135)</f>
        <v>2.20048912008499</v>
      </c>
      <c r="E135" s="8" t="n">
        <f aca="false">SUMIFS(Detalle!$I$2:$I$1370,Detalle!$A$2:$A$1370,"5dc9e0d5-object_0",Detalle!$B$2:$B$1370,$A135,Detalle!$C$2:$C$1370,$B135)</f>
        <v>4.95277979573523</v>
      </c>
      <c r="F135" s="7"/>
      <c r="G135" s="7"/>
      <c r="H135" s="7"/>
      <c r="I135" s="7"/>
      <c r="J135" s="7"/>
      <c r="K135" s="7"/>
      <c r="L135" s="7"/>
      <c r="M135" s="7"/>
    </row>
    <row r="136" customFormat="false" ht="15" hidden="false" customHeight="false" outlineLevel="0" collapsed="false">
      <c r="A136" s="7" t="s">
        <v>139</v>
      </c>
      <c r="B136" s="7" t="s">
        <v>161</v>
      </c>
      <c r="C136" s="8" t="n">
        <f aca="false">SUMIFS(Detalle!$I$2:$I$1370,Detalle!$A$2:$A$1370,"2a3facb9-object_2",Detalle!$B$2:$B$1370,$A136,Detalle!$C$2:$C$1370,$B136)</f>
        <v>10.4411872365793</v>
      </c>
      <c r="D136" s="8" t="n">
        <f aca="false">SUMIFS(Detalle!$I$2:$I$1370,Detalle!$A$2:$A$1370,"2f639739-object_1",Detalle!$B$2:$B$1370,$A136,Detalle!$C$2:$C$1370,$B136)</f>
        <v>1.74153812230007</v>
      </c>
      <c r="E136" s="8" t="n">
        <f aca="false">SUMIFS(Detalle!$I$2:$I$1370,Detalle!$A$2:$A$1370,"5dc9e0d5-object_0",Detalle!$B$2:$B$1370,$A136,Detalle!$C$2:$C$1370,$B136)</f>
        <v>6.54923934874578</v>
      </c>
      <c r="F136" s="7"/>
      <c r="G136" s="7"/>
      <c r="H136" s="7"/>
      <c r="I136" s="7"/>
      <c r="J136" s="7"/>
      <c r="K136" s="7"/>
      <c r="L136" s="7"/>
      <c r="M136" s="7"/>
    </row>
    <row r="137" customFormat="false" ht="15" hidden="false" customHeight="false" outlineLevel="0" collapsed="false">
      <c r="A137" s="7" t="s">
        <v>139</v>
      </c>
      <c r="B137" s="7" t="s">
        <v>162</v>
      </c>
      <c r="C137" s="8" t="n">
        <f aca="false">SUMIFS(Detalle!$I$2:$I$1370,Detalle!$A$2:$A$1370,"2a3facb9-object_2",Detalle!$B$2:$B$1370,$A137,Detalle!$C$2:$C$1370,$B137)</f>
        <v>2.65773868663522</v>
      </c>
      <c r="D137" s="8" t="n">
        <f aca="false">SUMIFS(Detalle!$I$2:$I$1370,Detalle!$A$2:$A$1370,"2f639739-object_1",Detalle!$B$2:$B$1370,$A137,Detalle!$C$2:$C$1370,$B137)</f>
        <v>0.0609395515731024</v>
      </c>
      <c r="E137" s="8" t="n">
        <f aca="false">SUMIFS(Detalle!$I$2:$I$1370,Detalle!$A$2:$A$1370,"5dc9e0d5-object_0",Detalle!$B$2:$B$1370,$A137,Detalle!$C$2:$C$1370,$B137)</f>
        <v>1.54571385838212</v>
      </c>
      <c r="F137" s="7"/>
      <c r="G137" s="7"/>
      <c r="H137" s="7"/>
      <c r="I137" s="7"/>
      <c r="J137" s="7"/>
      <c r="K137" s="7"/>
      <c r="L137" s="7"/>
      <c r="M137" s="7"/>
    </row>
    <row r="138" customFormat="false" ht="15" hidden="false" customHeight="false" outlineLevel="0" collapsed="false">
      <c r="A138" s="5" t="s">
        <v>143</v>
      </c>
      <c r="B138" s="5" t="s">
        <v>163</v>
      </c>
      <c r="C138" s="6" t="n">
        <f aca="false">SUMIFS(Detalle!$I$2:$I$1370,Detalle!$A$2:$A$1370,"2a3facb9-object_2",Detalle!$B$2:$B$1370,$A138,Detalle!$C$2:$C$1370,$B138)</f>
        <v>43.8641141219658</v>
      </c>
      <c r="D138" s="6" t="n">
        <f aca="false">SUMIFS(Detalle!$I$2:$I$1370,Detalle!$A$2:$A$1370,"2f639739-object_1",Detalle!$B$2:$B$1370,$A138,Detalle!$C$2:$C$1370,$B138)</f>
        <v>33.0473283819948</v>
      </c>
      <c r="E138" s="6" t="n">
        <f aca="false">SUMIFS(Detalle!$I$2:$I$1370,Detalle!$A$2:$A$1370,"5dc9e0d5-object_0",Detalle!$B$2:$B$1370,$A138,Detalle!$C$2:$C$1370,$B138)</f>
        <v>34.4238494081449</v>
      </c>
      <c r="F138" s="5"/>
      <c r="G138" s="5"/>
      <c r="H138" s="5"/>
      <c r="I138" s="5"/>
      <c r="J138" s="5"/>
      <c r="K138" s="5"/>
      <c r="L138" s="5"/>
      <c r="M138" s="5"/>
    </row>
    <row r="139" customFormat="false" ht="15" hidden="false" customHeight="false" outlineLevel="0" collapsed="false">
      <c r="A139" s="5" t="s">
        <v>143</v>
      </c>
      <c r="B139" s="5" t="s">
        <v>164</v>
      </c>
      <c r="C139" s="6" t="n">
        <f aca="false">SUMIFS(Detalle!$I$2:$I$1370,Detalle!$A$2:$A$1370,"2a3facb9-object_2",Detalle!$B$2:$B$1370,$A139,Detalle!$C$2:$C$1370,$B139)</f>
        <v>30.4035370279344</v>
      </c>
      <c r="D139" s="6" t="n">
        <f aca="false">SUMIFS(Detalle!$I$2:$I$1370,Detalle!$A$2:$A$1370,"2f639739-object_1",Detalle!$B$2:$B$1370,$A139,Detalle!$C$2:$C$1370,$B139)</f>
        <v>30.8468392619098</v>
      </c>
      <c r="E139" s="6" t="n">
        <f aca="false">SUMIFS(Detalle!$I$2:$I$1370,Detalle!$A$2:$A$1370,"5dc9e0d5-object_0",Detalle!$B$2:$B$1370,$A139,Detalle!$C$2:$C$1370,$B139)</f>
        <v>29.4700546985172</v>
      </c>
      <c r="F139" s="5"/>
      <c r="G139" s="5"/>
      <c r="H139" s="5"/>
      <c r="I139" s="5"/>
      <c r="J139" s="5"/>
      <c r="K139" s="5"/>
      <c r="L139" s="5"/>
      <c r="M139" s="5"/>
    </row>
    <row r="140" customFormat="false" ht="15" hidden="false" customHeight="false" outlineLevel="0" collapsed="false">
      <c r="A140" s="5" t="s">
        <v>143</v>
      </c>
      <c r="B140" s="5" t="s">
        <v>165</v>
      </c>
      <c r="C140" s="6" t="n">
        <f aca="false">SUMIFS(Detalle!$I$2:$I$1370,Detalle!$A$2:$A$1370,"2a3facb9-object_2",Detalle!$B$2:$B$1370,$A140,Detalle!$C$2:$C$1370,$B140)</f>
        <v>29.639499252225</v>
      </c>
      <c r="D140" s="6" t="n">
        <f aca="false">SUMIFS(Detalle!$I$2:$I$1370,Detalle!$A$2:$A$1370,"2f639739-object_1",Detalle!$B$2:$B$1370,$A140,Detalle!$C$2:$C$1370,$B140)</f>
        <v>21.7097152479177</v>
      </c>
      <c r="E140" s="6" t="n">
        <f aca="false">SUMIFS(Detalle!$I$2:$I$1370,Detalle!$A$2:$A$1370,"5dc9e0d5-object_0",Detalle!$B$2:$B$1370,$A140,Detalle!$C$2:$C$1370,$B140)</f>
        <v>21.0503290457673</v>
      </c>
      <c r="F140" s="5"/>
      <c r="G140" s="5"/>
      <c r="H140" s="5"/>
      <c r="I140" s="5"/>
      <c r="J140" s="5"/>
      <c r="K140" s="5"/>
      <c r="L140" s="5"/>
      <c r="M140" s="5"/>
    </row>
    <row r="141" customFormat="false" ht="15" hidden="false" customHeight="false" outlineLevel="0" collapsed="false">
      <c r="A141" s="5" t="s">
        <v>143</v>
      </c>
      <c r="B141" s="5" t="s">
        <v>166</v>
      </c>
      <c r="C141" s="6" t="n">
        <f aca="false">SUMIFS(Detalle!$I$2:$I$1370,Detalle!$A$2:$A$1370,"2a3facb9-object_2",Detalle!$B$2:$B$1370,$A141,Detalle!$C$2:$C$1370,$B141)</f>
        <v>16.1789221581936</v>
      </c>
      <c r="D141" s="6" t="n">
        <f aca="false">SUMIFS(Detalle!$I$2:$I$1370,Detalle!$A$2:$A$1370,"2f639739-object_1",Detalle!$B$2:$B$1370,$A141,Detalle!$C$2:$C$1370,$B141)</f>
        <v>19.5082739473394</v>
      </c>
      <c r="E141" s="6" t="n">
        <f aca="false">SUMIFS(Detalle!$I$2:$I$1370,Detalle!$A$2:$A$1370,"5dc9e0d5-object_0",Detalle!$B$2:$B$1370,$A141,Detalle!$C$2:$C$1370,$B141)</f>
        <v>16.0975492500321</v>
      </c>
      <c r="F141" s="5"/>
      <c r="G141" s="5"/>
      <c r="H141" s="5"/>
      <c r="I141" s="5"/>
      <c r="J141" s="5"/>
      <c r="K141" s="5"/>
      <c r="L141" s="5"/>
      <c r="M141" s="5"/>
    </row>
    <row r="142" customFormat="false" ht="15" hidden="false" customHeight="false" outlineLevel="0" collapsed="false">
      <c r="A142" s="5" t="s">
        <v>143</v>
      </c>
      <c r="B142" s="5" t="s">
        <v>167</v>
      </c>
      <c r="C142" s="6" t="n">
        <f aca="false">SUMIFS(Detalle!$I$2:$I$1370,Detalle!$A$2:$A$1370,"2a3facb9-object_2",Detalle!$B$2:$B$1370,$A142,Detalle!$C$2:$C$1370,$B142)</f>
        <v>13.0393130928601</v>
      </c>
      <c r="D142" s="6" t="n">
        <f aca="false">SUMIFS(Detalle!$I$2:$I$1370,Detalle!$A$2:$A$1370,"2f639739-object_1",Detalle!$B$2:$B$1370,$A142,Detalle!$C$2:$C$1370,$B142)</f>
        <v>12.654478756352</v>
      </c>
      <c r="E142" s="6" t="n">
        <f aca="false">SUMIFS(Detalle!$I$2:$I$1370,Detalle!$A$2:$A$1370,"5dc9e0d5-object_0",Detalle!$B$2:$B$1370,$A142,Detalle!$C$2:$C$1370,$B142)</f>
        <v>12.7960343575061</v>
      </c>
      <c r="F142" s="5"/>
      <c r="G142" s="5"/>
      <c r="H142" s="5"/>
      <c r="I142" s="5"/>
      <c r="J142" s="5"/>
      <c r="K142" s="5"/>
      <c r="L142" s="5"/>
      <c r="M142" s="5"/>
    </row>
    <row r="143" customFormat="false" ht="15" hidden="false" customHeight="false" outlineLevel="0" collapsed="false">
      <c r="A143" s="5" t="s">
        <v>143</v>
      </c>
      <c r="B143" s="5" t="s">
        <v>168</v>
      </c>
      <c r="C143" s="6" t="n">
        <f aca="false">SUMIFS(Detalle!$I$2:$I$1370,Detalle!$A$2:$A$1370,"2a3facb9-object_2",Detalle!$B$2:$B$1370,$A143,Detalle!$C$2:$C$1370,$B143)</f>
        <v>11.0611606722654</v>
      </c>
      <c r="D143" s="6" t="n">
        <f aca="false">SUMIFS(Detalle!$I$2:$I$1370,Detalle!$A$2:$A$1370,"2f639739-object_1",Detalle!$B$2:$B$1370,$A143,Detalle!$C$2:$C$1370,$B143)</f>
        <v>13.0029768169107</v>
      </c>
      <c r="E143" s="6" t="n">
        <f aca="false">SUMIFS(Detalle!$I$2:$I$1370,Detalle!$A$2:$A$1370,"5dc9e0d5-object_0",Detalle!$B$2:$B$1370,$A143,Detalle!$C$2:$C$1370,$B143)</f>
        <v>14.5883722917824</v>
      </c>
      <c r="F143" s="5"/>
      <c r="G143" s="5"/>
      <c r="H143" s="5"/>
      <c r="I143" s="5"/>
      <c r="J143" s="5"/>
      <c r="K143" s="5"/>
      <c r="L143" s="5"/>
      <c r="M143" s="5"/>
    </row>
    <row r="144" customFormat="false" ht="15" hidden="false" customHeight="false" outlineLevel="0" collapsed="false">
      <c r="A144" s="5" t="s">
        <v>143</v>
      </c>
      <c r="B144" s="5" t="s">
        <v>169</v>
      </c>
      <c r="C144" s="6" t="n">
        <f aca="false">SUMIFS(Detalle!$I$2:$I$1370,Detalle!$A$2:$A$1370,"2a3facb9-object_2",Detalle!$B$2:$B$1370,$A144,Detalle!$C$2:$C$1370,$B144)</f>
        <v>46.0469372601107</v>
      </c>
      <c r="D144" s="6" t="n">
        <f aca="false">SUMIFS(Detalle!$I$2:$I$1370,Detalle!$A$2:$A$1370,"2f639739-object_1",Detalle!$B$2:$B$1370,$A144,Detalle!$C$2:$C$1370,$B144)</f>
        <v>44.4811117458981</v>
      </c>
      <c r="E144" s="6" t="n">
        <f aca="false">SUMIFS(Detalle!$I$2:$I$1370,Detalle!$A$2:$A$1370,"5dc9e0d5-object_0",Detalle!$B$2:$B$1370,$A144,Detalle!$C$2:$C$1370,$B144)</f>
        <v>45.2519657279603</v>
      </c>
      <c r="F144" s="5"/>
      <c r="G144" s="5"/>
      <c r="H144" s="5"/>
      <c r="I144" s="5"/>
      <c r="J144" s="5"/>
      <c r="K144" s="5"/>
      <c r="L144" s="5"/>
      <c r="M144" s="5"/>
    </row>
    <row r="145" customFormat="false" ht="15" hidden="false" customHeight="false" outlineLevel="0" collapsed="false">
      <c r="A145" s="5" t="s">
        <v>143</v>
      </c>
      <c r="B145" s="5" t="s">
        <v>170</v>
      </c>
      <c r="C145" s="6" t="n">
        <f aca="false">SUMIFS(Detalle!$I$2:$I$1370,Detalle!$A$2:$A$1370,"2a3facb9-object_2",Detalle!$B$2:$B$1370,$A145,Detalle!$C$2:$C$1370,$B145)</f>
        <v>52.5665938065407</v>
      </c>
      <c r="D145" s="6" t="n">
        <f aca="false">SUMIFS(Detalle!$I$2:$I$1370,Detalle!$A$2:$A$1370,"2f639739-object_1",Detalle!$B$2:$B$1370,$A145,Detalle!$C$2:$C$1370,$B145)</f>
        <v>50.8083511240741</v>
      </c>
      <c r="E145" s="6" t="n">
        <f aca="false">SUMIFS(Detalle!$I$2:$I$1370,Detalle!$A$2:$A$1370,"5dc9e0d5-object_0",Detalle!$B$2:$B$1370,$A145,Detalle!$C$2:$C$1370,$B145)</f>
        <v>51.6499829067134</v>
      </c>
      <c r="F145" s="5"/>
      <c r="G145" s="5"/>
      <c r="H145" s="5"/>
      <c r="I145" s="5"/>
      <c r="J145" s="5"/>
      <c r="K145" s="5"/>
      <c r="L145" s="5"/>
      <c r="M145" s="5"/>
    </row>
    <row r="146" customFormat="false" ht="15" hidden="false" customHeight="false" outlineLevel="0" collapsed="false">
      <c r="A146" s="5" t="s">
        <v>143</v>
      </c>
      <c r="B146" s="5" t="s">
        <v>171</v>
      </c>
      <c r="C146" s="6" t="n">
        <f aca="false">SUMIFS(Detalle!$I$2:$I$1370,Detalle!$A$2:$A$1370,"2a3facb9-object_2",Detalle!$B$2:$B$1370,$A146,Detalle!$C$2:$C$1370,$B146)</f>
        <v>39.5272807136806</v>
      </c>
      <c r="D146" s="6" t="n">
        <f aca="false">SUMIFS(Detalle!$I$2:$I$1370,Detalle!$A$2:$A$1370,"2f639739-object_1",Detalle!$B$2:$B$1370,$A146,Detalle!$C$2:$C$1370,$B146)</f>
        <v>38.1548245482154</v>
      </c>
      <c r="E146" s="6" t="n">
        <f aca="false">SUMIFS(Detalle!$I$2:$I$1370,Detalle!$A$2:$A$1370,"5dc9e0d5-object_0",Detalle!$B$2:$B$1370,$A146,Detalle!$C$2:$C$1370,$B146)</f>
        <v>38.8539485492073</v>
      </c>
      <c r="F146" s="5"/>
      <c r="G146" s="5"/>
      <c r="H146" s="5"/>
      <c r="I146" s="5"/>
      <c r="J146" s="5"/>
      <c r="K146" s="5"/>
      <c r="L146" s="5"/>
      <c r="M146" s="5"/>
    </row>
    <row r="147" customFormat="false" ht="15" hidden="false" customHeight="false" outlineLevel="0" collapsed="false">
      <c r="A147" s="5" t="s">
        <v>143</v>
      </c>
      <c r="B147" s="5" t="s">
        <v>172</v>
      </c>
      <c r="C147" s="6" t="n">
        <f aca="false">SUMIFS(Detalle!$I$2:$I$1370,Detalle!$A$2:$A$1370,"2a3facb9-object_2",Detalle!$B$2:$B$1370,$A147,Detalle!$C$2:$C$1370,$B147)</f>
        <v>11.8639467877051</v>
      </c>
      <c r="D147" s="6" t="n">
        <f aca="false">SUMIFS(Detalle!$I$2:$I$1370,Detalle!$A$2:$A$1370,"2f639739-object_1",Detalle!$B$2:$B$1370,$A147,Detalle!$C$2:$C$1370,$B147)</f>
        <v>10.3616281284141</v>
      </c>
      <c r="E147" s="6" t="n">
        <f aca="false">SUMIFS(Detalle!$I$2:$I$1370,Detalle!$A$2:$A$1370,"5dc9e0d5-object_0",Detalle!$B$2:$B$1370,$A147,Detalle!$C$2:$C$1370,$B147)</f>
        <v>34.8156061706765</v>
      </c>
      <c r="F147" s="5"/>
      <c r="G147" s="5"/>
      <c r="H147" s="5"/>
      <c r="I147" s="5"/>
      <c r="J147" s="5"/>
      <c r="K147" s="5"/>
      <c r="L147" s="5"/>
      <c r="M147" s="5"/>
    </row>
    <row r="148" customFormat="false" ht="15" hidden="false" customHeight="false" outlineLevel="0" collapsed="false">
      <c r="A148" s="5" t="s">
        <v>143</v>
      </c>
      <c r="B148" s="5" t="s">
        <v>173</v>
      </c>
      <c r="C148" s="6" t="n">
        <f aca="false">SUMIFS(Detalle!$I$2:$I$1370,Detalle!$A$2:$A$1370,"2a3facb9-object_2",Detalle!$B$2:$B$1370,$A148,Detalle!$C$2:$C$1370,$B148)</f>
        <v>9.98316199002269</v>
      </c>
      <c r="D148" s="6" t="n">
        <f aca="false">SUMIFS(Detalle!$I$2:$I$1370,Detalle!$A$2:$A$1370,"2f639739-object_1",Detalle!$B$2:$B$1370,$A148,Detalle!$C$2:$C$1370,$B148)</f>
        <v>10.2226097763879</v>
      </c>
      <c r="E148" s="6" t="n">
        <f aca="false">SUMIFS(Detalle!$I$2:$I$1370,Detalle!$A$2:$A$1370,"5dc9e0d5-object_0",Detalle!$B$2:$B$1370,$A148,Detalle!$C$2:$C$1370,$B148)</f>
        <v>27.0281718729969</v>
      </c>
      <c r="F148" s="5"/>
      <c r="G148" s="5"/>
      <c r="H148" s="5"/>
      <c r="I148" s="5"/>
      <c r="J148" s="5"/>
      <c r="K148" s="5"/>
      <c r="L148" s="5"/>
      <c r="M148" s="5"/>
    </row>
    <row r="149" customFormat="false" ht="15" hidden="false" customHeight="false" outlineLevel="0" collapsed="false">
      <c r="A149" s="5" t="s">
        <v>143</v>
      </c>
      <c r="B149" s="5" t="s">
        <v>174</v>
      </c>
      <c r="C149" s="6" t="n">
        <f aca="false">SUMIFS(Detalle!$I$2:$I$1370,Detalle!$A$2:$A$1370,"2a3facb9-object_2",Detalle!$B$2:$B$1370,$A149,Detalle!$C$2:$C$1370,$B149)</f>
        <v>36.1353106665133</v>
      </c>
      <c r="D149" s="6" t="n">
        <f aca="false">SUMIFS(Detalle!$I$2:$I$1370,Detalle!$A$2:$A$1370,"2f639739-object_1",Detalle!$B$2:$B$1370,$A149,Detalle!$C$2:$C$1370,$B149)</f>
        <v>33.5862625412194</v>
      </c>
      <c r="E149" s="6" t="n">
        <f aca="false">SUMIFS(Detalle!$I$2:$I$1370,Detalle!$A$2:$A$1370,"5dc9e0d5-object_0",Detalle!$B$2:$B$1370,$A149,Detalle!$C$2:$C$1370,$B149)</f>
        <v>123.089771804624</v>
      </c>
      <c r="F149" s="5"/>
      <c r="G149" s="5"/>
      <c r="H149" s="5"/>
      <c r="I149" s="5"/>
      <c r="J149" s="5"/>
      <c r="K149" s="5"/>
      <c r="L149" s="5"/>
      <c r="M149" s="5"/>
    </row>
    <row r="150" customFormat="false" ht="15" hidden="false" customHeight="false" outlineLevel="0" collapsed="false">
      <c r="A150" s="5" t="s">
        <v>143</v>
      </c>
      <c r="B150" s="5" t="s">
        <v>175</v>
      </c>
      <c r="C150" s="6" t="n">
        <f aca="false">SUMIFS(Detalle!$I$2:$I$1370,Detalle!$A$2:$A$1370,"2a3facb9-object_2",Detalle!$B$2:$B$1370,$A150,Detalle!$C$2:$C$1370,$B150)</f>
        <v>9.41882719600071</v>
      </c>
      <c r="D150" s="6" t="n">
        <f aca="false">SUMIFS(Detalle!$I$2:$I$1370,Detalle!$A$2:$A$1370,"2f639739-object_1",Detalle!$B$2:$B$1370,$A150,Detalle!$C$2:$C$1370,$B150)</f>
        <v>12.847771396498</v>
      </c>
      <c r="E150" s="6" t="n">
        <f aca="false">SUMIFS(Detalle!$I$2:$I$1370,Detalle!$A$2:$A$1370,"5dc9e0d5-object_0",Detalle!$B$2:$B$1370,$A150,Detalle!$C$2:$C$1370,$B150)</f>
        <v>10.6352826802273</v>
      </c>
      <c r="F150" s="5"/>
      <c r="G150" s="5"/>
      <c r="H150" s="5"/>
      <c r="I150" s="5"/>
      <c r="J150" s="5"/>
      <c r="K150" s="5"/>
      <c r="L150" s="5"/>
      <c r="M150" s="5"/>
    </row>
    <row r="151" customFormat="false" ht="15" hidden="false" customHeight="false" outlineLevel="0" collapsed="false">
      <c r="A151" s="5" t="s">
        <v>143</v>
      </c>
      <c r="B151" s="5" t="s">
        <v>176</v>
      </c>
      <c r="C151" s="6" t="n">
        <f aca="false">SUMIFS(Detalle!$I$2:$I$1370,Detalle!$A$2:$A$1370,"2a3facb9-object_2",Detalle!$B$2:$B$1370,$A151,Detalle!$C$2:$C$1370,$B151)</f>
        <v>8.51072508026815</v>
      </c>
      <c r="D151" s="6" t="n">
        <f aca="false">SUMIFS(Detalle!$I$2:$I$1370,Detalle!$A$2:$A$1370,"2f639739-object_1",Detalle!$B$2:$B$1370,$A151,Detalle!$C$2:$C$1370,$B151)</f>
        <v>12.8944282406711</v>
      </c>
      <c r="E151" s="6" t="n">
        <f aca="false">SUMIFS(Detalle!$I$2:$I$1370,Detalle!$A$2:$A$1370,"5dc9e0d5-object_0",Detalle!$B$2:$B$1370,$A151,Detalle!$C$2:$C$1370,$B151)</f>
        <v>8.85816845433956</v>
      </c>
      <c r="F151" s="5"/>
      <c r="G151" s="5"/>
      <c r="H151" s="5"/>
      <c r="I151" s="5"/>
      <c r="J151" s="5"/>
      <c r="K151" s="5"/>
      <c r="L151" s="5"/>
      <c r="M151" s="5"/>
    </row>
    <row r="152" customFormat="false" ht="15" hidden="false" customHeight="false" outlineLevel="0" collapsed="false">
      <c r="A152" s="5" t="s">
        <v>143</v>
      </c>
      <c r="B152" s="5" t="s">
        <v>177</v>
      </c>
      <c r="C152" s="6" t="n">
        <f aca="false">SUMIFS(Detalle!$I$2:$I$1370,Detalle!$A$2:$A$1370,"2a3facb9-object_2",Detalle!$B$2:$B$1370,$A152,Detalle!$C$2:$C$1370,$B152)</f>
        <v>27.7279144921928</v>
      </c>
      <c r="D152" s="6" t="n">
        <f aca="false">SUMIFS(Detalle!$I$2:$I$1370,Detalle!$A$2:$A$1370,"2f639739-object_1",Detalle!$B$2:$B$1370,$A152,Detalle!$C$2:$C$1370,$B152)</f>
        <v>41.5255434946026</v>
      </c>
      <c r="E152" s="6" t="n">
        <f aca="false">SUMIFS(Detalle!$I$2:$I$1370,Detalle!$A$2:$A$1370,"5dc9e0d5-object_0",Detalle!$B$2:$B$1370,$A152,Detalle!$C$2:$C$1370,$B152)</f>
        <v>30.9832913123371</v>
      </c>
      <c r="F152" s="5"/>
      <c r="G152" s="5"/>
      <c r="H152" s="5"/>
      <c r="I152" s="5"/>
      <c r="J152" s="5"/>
      <c r="K152" s="5"/>
      <c r="L152" s="5"/>
      <c r="M152" s="5"/>
    </row>
    <row r="153" customFormat="false" ht="15" hidden="false" customHeight="false" outlineLevel="0" collapsed="false">
      <c r="A153" s="7" t="s">
        <v>178</v>
      </c>
      <c r="B153" s="7" t="s">
        <v>179</v>
      </c>
      <c r="C153" s="7"/>
      <c r="D153" s="8" t="n">
        <f aca="false">SUMIFS(Detalle!$I$2:$I$1370,Detalle!$A$2:$A$1370,"2f639739-object_1",Detalle!$B$2:$B$1370,$A153,Detalle!$C$2:$C$1370,$B153)</f>
        <v>47.0919906586082</v>
      </c>
      <c r="E153" s="8" t="n">
        <f aca="false">SUMIFS(Detalle!$I$2:$I$1370,Detalle!$A$2:$A$1370,"5dc9e0d5-object_0",Detalle!$B$2:$B$1370,$A153,Detalle!$C$2:$C$1370,$B153)</f>
        <v>47.4177919747019</v>
      </c>
      <c r="F153" s="8" t="n">
        <f aca="false">SUMIFS(Detalle!$I$2:$I$1370,Detalle!$A$2:$A$1370,"a501b501-object_3",Detalle!$B$2:$B$1370,$A153,Detalle!$C$2:$C$1370,$B153)</f>
        <v>32.6112738872611</v>
      </c>
      <c r="G153" s="8" t="n">
        <f aca="false">SUMIFS(Detalle!$I$2:$I$1370,Detalle!$A$2:$A$1370,"2b65e967-object_0-1",Detalle!$B$2:$B$1370,$A153,Detalle!$C$2:$C$1370,$B153)</f>
        <v>53.7440487526185</v>
      </c>
      <c r="H153" s="8" t="n">
        <f aca="false">SUMIFS(Detalle!$I$2:$I$1370,Detalle!$A$2:$A$1370,"5ed925a3-object_2",Detalle!$B$2:$B$1370,$A153,Detalle!$C$2:$C$1370,$B153)</f>
        <v>50.9146231788477</v>
      </c>
      <c r="I153" s="8" t="n">
        <f aca="false">SUMIFS(Detalle!$I$2:$I$1370,Detalle!$A$2:$A$1370,"70ef0058-object_0",Detalle!$B$2:$B$1370,$A153,Detalle!$C$2:$C$1370,$B153)</f>
        <v>46.8711285012359</v>
      </c>
      <c r="J153" s="8" t="n">
        <f aca="false">SUMIFS(Detalle!$I$2:$I$1370,Detalle!$A$2:$A$1370,"80c13944-object_3",Detalle!$B$2:$B$1370,$A153,Detalle!$C$2:$C$1370,$B153)</f>
        <v>54.0499343364979</v>
      </c>
      <c r="K153" s="8" t="n">
        <f aca="false">SUMIFS(Detalle!$I$2:$I$1370,Detalle!$A$2:$A$1370,"fba550bc-object_1",Detalle!$B$2:$B$1370,$A153,Detalle!$C$2:$C$1370,$B153)</f>
        <v>48.5851303347176</v>
      </c>
      <c r="L153" s="7"/>
      <c r="M153" s="7"/>
    </row>
    <row r="154" customFormat="false" ht="15" hidden="false" customHeight="false" outlineLevel="0" collapsed="false">
      <c r="A154" s="7" t="s">
        <v>178</v>
      </c>
      <c r="B154" s="7" t="s">
        <v>180</v>
      </c>
      <c r="C154" s="7"/>
      <c r="D154" s="8" t="n">
        <f aca="false">SUMIFS(Detalle!$I$2:$I$1370,Detalle!$A$2:$A$1370,"2f639739-object_1",Detalle!$B$2:$B$1370,$A154,Detalle!$C$2:$C$1370,$B154)</f>
        <v>25.4651151136102</v>
      </c>
      <c r="E154" s="8" t="n">
        <f aca="false">SUMIFS(Detalle!$I$2:$I$1370,Detalle!$A$2:$A$1370,"5dc9e0d5-object_0",Detalle!$B$2:$B$1370,$A154,Detalle!$C$2:$C$1370,$B154)</f>
        <v>41.2745181829836</v>
      </c>
      <c r="F154" s="8" t="n">
        <f aca="false">SUMIFS(Detalle!$I$2:$I$1370,Detalle!$A$2:$A$1370,"a501b501-object_3",Detalle!$B$2:$B$1370,$A154,Detalle!$C$2:$C$1370,$B154)</f>
        <v>27.8689213107869</v>
      </c>
      <c r="G154" s="8" t="n">
        <f aca="false">SUMIFS(Detalle!$I$2:$I$1370,Detalle!$A$2:$A$1370,"2b65e967-object_0-1",Detalle!$B$2:$B$1370,$A154,Detalle!$C$2:$C$1370,$B154)</f>
        <v>28.9573414587698</v>
      </c>
      <c r="H154" s="8" t="n">
        <f aca="false">SUMIFS(Detalle!$I$2:$I$1370,Detalle!$A$2:$A$1370,"5ed925a3-object_2",Detalle!$B$2:$B$1370,$A154,Detalle!$C$2:$C$1370,$B154)</f>
        <v>44.1907488458541</v>
      </c>
      <c r="I154" s="8" t="n">
        <f aca="false">SUMIFS(Detalle!$I$2:$I$1370,Detalle!$A$2:$A$1370,"70ef0058-object_0",Detalle!$B$2:$B$1370,$A154,Detalle!$C$2:$C$1370,$B154)</f>
        <v>37.8568283481272</v>
      </c>
      <c r="J154" s="8" t="n">
        <f aca="false">SUMIFS(Detalle!$I$2:$I$1370,Detalle!$A$2:$A$1370,"80c13944-object_3",Detalle!$B$2:$B$1370,$A154,Detalle!$C$2:$C$1370,$B154)</f>
        <v>43.5690870266965</v>
      </c>
      <c r="K154" s="8" t="n">
        <f aca="false">SUMIFS(Detalle!$I$2:$I$1370,Detalle!$A$2:$A$1370,"fba550bc-object_1",Detalle!$B$2:$B$1370,$A154,Detalle!$C$2:$C$1370,$B154)</f>
        <v>27.2371041176765</v>
      </c>
      <c r="L154" s="7"/>
      <c r="M154" s="7"/>
    </row>
    <row r="155" customFormat="false" ht="15" hidden="false" customHeight="false" outlineLevel="0" collapsed="false">
      <c r="A155" s="7" t="s">
        <v>178</v>
      </c>
      <c r="B155" s="7" t="s">
        <v>181</v>
      </c>
      <c r="C155" s="7"/>
      <c r="D155" s="8" t="n">
        <f aca="false">SUMIFS(Detalle!$I$2:$I$1370,Detalle!$A$2:$A$1370,"2f639739-object_1",Detalle!$B$2:$B$1370,$A155,Detalle!$C$2:$C$1370,$B155)</f>
        <v>21.626875544998</v>
      </c>
      <c r="E155" s="8" t="n">
        <f aca="false">SUMIFS(Detalle!$I$2:$I$1370,Detalle!$A$2:$A$1370,"5dc9e0d5-object_0",Detalle!$B$2:$B$1370,$A155,Detalle!$C$2:$C$1370,$B155)</f>
        <v>6.1432737917183</v>
      </c>
      <c r="F155" s="8" t="n">
        <f aca="false">SUMIFS(Detalle!$I$2:$I$1370,Detalle!$A$2:$A$1370,"a501b501-object_3",Detalle!$B$2:$B$1370,$A155,Detalle!$C$2:$C$1370,$B155)</f>
        <v>4.74235257647424</v>
      </c>
      <c r="G155" s="8" t="n">
        <f aca="false">SUMIFS(Detalle!$I$2:$I$1370,Detalle!$A$2:$A$1370,"2b65e967-object_0-1",Detalle!$B$2:$B$1370,$A155,Detalle!$C$2:$C$1370,$B155)</f>
        <v>24.7867072938488</v>
      </c>
      <c r="H155" s="8" t="n">
        <f aca="false">SUMIFS(Detalle!$I$2:$I$1370,Detalle!$A$2:$A$1370,"5ed925a3-object_2",Detalle!$B$2:$B$1370,$A155,Detalle!$C$2:$C$1370,$B155)</f>
        <v>6.72482363051342</v>
      </c>
      <c r="I155" s="8" t="n">
        <f aca="false">SUMIFS(Detalle!$I$2:$I$1370,Detalle!$A$2:$A$1370,"70ef0058-object_0",Detalle!$B$2:$B$1370,$A155,Detalle!$C$2:$C$1370,$B155)</f>
        <v>9.01334947812947</v>
      </c>
      <c r="J155" s="8" t="n">
        <f aca="false">SUMIFS(Detalle!$I$2:$I$1370,Detalle!$A$2:$A$1370,"80c13944-object_3",Detalle!$B$2:$B$1370,$A155,Detalle!$C$2:$C$1370,$B155)</f>
        <v>10.4808473098014</v>
      </c>
      <c r="K155" s="8" t="n">
        <f aca="false">SUMIFS(Detalle!$I$2:$I$1370,Detalle!$A$2:$A$1370,"fba550bc-object_1",Detalle!$B$2:$B$1370,$A155,Detalle!$C$2:$C$1370,$B155)</f>
        <v>21.3480262170411</v>
      </c>
      <c r="L155" s="7"/>
      <c r="M155" s="7"/>
    </row>
    <row r="156" customFormat="false" ht="15" hidden="false" customHeight="false" outlineLevel="0" collapsed="false">
      <c r="A156" s="7" t="s">
        <v>178</v>
      </c>
      <c r="B156" s="7" t="s">
        <v>73</v>
      </c>
      <c r="C156" s="7"/>
      <c r="D156" s="8" t="n">
        <f aca="false">SUMIFS(Detalle!$I$2:$I$1370,Detalle!$A$2:$A$1370,"2f639739-object_1",Detalle!$B$2:$B$1370,$A156,Detalle!$C$2:$C$1370,$B156)</f>
        <v>9.55893997253711</v>
      </c>
      <c r="E156" s="8" t="n">
        <f aca="false">SUMIFS(Detalle!$I$2:$I$1370,Detalle!$A$2:$A$1370,"5dc9e0d5-object_0",Detalle!$B$2:$B$1370,$A156,Detalle!$C$2:$C$1370,$B156)</f>
        <v>3.84449382505021</v>
      </c>
      <c r="F156" s="8" t="n">
        <f aca="false">SUMIFS(Detalle!$I$2:$I$1370,Detalle!$A$2:$A$1370,"a501b501-object_3",Detalle!$B$2:$B$1370,$A156,Detalle!$C$2:$C$1370,$B156)</f>
        <v>3.28411715882841</v>
      </c>
      <c r="G156" s="8" t="n">
        <f aca="false">SUMIFS(Detalle!$I$2:$I$1370,Detalle!$A$2:$A$1370,"2b65e967-object_0-1",Detalle!$B$2:$B$1370,$A156,Detalle!$C$2:$C$1370,$B156)</f>
        <v>9.44296324509617</v>
      </c>
      <c r="H156" s="8" t="n">
        <f aca="false">SUMIFS(Detalle!$I$2:$I$1370,Detalle!$A$2:$A$1370,"5ed925a3-object_2",Detalle!$B$2:$B$1370,$A156,Detalle!$C$2:$C$1370,$B156)</f>
        <v>6.48085416791574</v>
      </c>
      <c r="I156" s="8" t="n">
        <f aca="false">SUMIFS(Detalle!$I$2:$I$1370,Detalle!$A$2:$A$1370,"70ef0058-object_0",Detalle!$B$2:$B$1370,$A156,Detalle!$C$2:$C$1370,$B156)</f>
        <v>4.24001040738925</v>
      </c>
      <c r="J156" s="8" t="n">
        <f aca="false">SUMIFS(Detalle!$I$2:$I$1370,Detalle!$A$2:$A$1370,"80c13944-object_3",Detalle!$B$2:$B$1370,$A156,Detalle!$C$2:$C$1370,$B156)</f>
        <v>5.22470952672154</v>
      </c>
      <c r="K156" s="8" t="n">
        <f aca="false">SUMIFS(Detalle!$I$2:$I$1370,Detalle!$A$2:$A$1370,"fba550bc-object_1",Detalle!$B$2:$B$1370,$A156,Detalle!$C$2:$C$1370,$B156)</f>
        <v>12.7297243208085</v>
      </c>
      <c r="L156" s="7"/>
      <c r="M156" s="7"/>
    </row>
    <row r="157" customFormat="false" ht="15" hidden="false" customHeight="false" outlineLevel="0" collapsed="false">
      <c r="A157" s="5" t="s">
        <v>139</v>
      </c>
      <c r="B157" s="5" t="s">
        <v>182</v>
      </c>
      <c r="C157" s="5"/>
      <c r="D157" s="5"/>
      <c r="E157" s="5"/>
      <c r="F157" s="5"/>
      <c r="G157" s="6" t="n">
        <f aca="false">SUMIFS(Detalle!$I$2:$I$1370,Detalle!$A$2:$A$1370,"2b65e967-object_0-1",Detalle!$B$2:$B$1370,$A157,Detalle!$C$2:$C$1370,$B157)</f>
        <v>18.4802894686726</v>
      </c>
      <c r="H157" s="6" t="n">
        <f aca="false">SUMIFS(Detalle!$I$2:$I$1370,Detalle!$A$2:$A$1370,"5ed925a3-object_2",Detalle!$B$2:$B$1370,$A157,Detalle!$C$2:$C$1370,$B157)</f>
        <v>18.6574934548434</v>
      </c>
      <c r="I157" s="6" t="n">
        <f aca="false">SUMIFS(Detalle!$I$2:$I$1370,Detalle!$A$2:$A$1370,"70ef0058-object_0",Detalle!$B$2:$B$1370,$A157,Detalle!$C$2:$C$1370,$B157)</f>
        <v>19.8909725905393</v>
      </c>
      <c r="J157" s="6" t="n">
        <f aca="false">SUMIFS(Detalle!$I$2:$I$1370,Detalle!$A$2:$A$1370,"80c13944-object_3",Detalle!$B$2:$B$1370,$A157,Detalle!$C$2:$C$1370,$B157)</f>
        <v>19.0759992381029</v>
      </c>
      <c r="K157" s="6" t="n">
        <f aca="false">SUMIFS(Detalle!$I$2:$I$1370,Detalle!$A$2:$A$1370,"fba550bc-object_1",Detalle!$B$2:$B$1370,$A157,Detalle!$C$2:$C$1370,$B157)</f>
        <v>19.6492720268174</v>
      </c>
      <c r="L157" s="5"/>
      <c r="M157" s="5"/>
    </row>
    <row r="158" customFormat="false" ht="15" hidden="false" customHeight="false" outlineLevel="0" collapsed="false">
      <c r="A158" s="5" t="s">
        <v>139</v>
      </c>
      <c r="B158" s="5" t="s">
        <v>183</v>
      </c>
      <c r="C158" s="5"/>
      <c r="D158" s="5"/>
      <c r="E158" s="5"/>
      <c r="F158" s="5"/>
      <c r="G158" s="6" t="n">
        <f aca="false">SUMIFS(Detalle!$I$2:$I$1370,Detalle!$A$2:$A$1370,"2b65e967-object_0-1",Detalle!$B$2:$B$1370,$A158,Detalle!$C$2:$C$1370,$B158)</f>
        <v>42.8965911254999</v>
      </c>
      <c r="H158" s="6" t="n">
        <f aca="false">SUMIFS(Detalle!$I$2:$I$1370,Detalle!$A$2:$A$1370,"5ed925a3-object_2",Detalle!$B$2:$B$1370,$A158,Detalle!$C$2:$C$1370,$B158)</f>
        <v>43.1731019045906</v>
      </c>
      <c r="I158" s="6" t="n">
        <f aca="false">SUMIFS(Detalle!$I$2:$I$1370,Detalle!$A$2:$A$1370,"70ef0058-object_0",Detalle!$B$2:$B$1370,$A158,Detalle!$C$2:$C$1370,$B158)</f>
        <v>40.2534799707793</v>
      </c>
      <c r="J158" s="6" t="n">
        <f aca="false">SUMIFS(Detalle!$I$2:$I$1370,Detalle!$A$2:$A$1370,"80c13944-object_3",Detalle!$B$2:$B$1370,$A158,Detalle!$C$2:$C$1370,$B158)</f>
        <v>43.2528997203036</v>
      </c>
      <c r="K158" s="6" t="n">
        <f aca="false">SUMIFS(Detalle!$I$2:$I$1370,Detalle!$A$2:$A$1370,"fba550bc-object_1",Detalle!$B$2:$B$1370,$A158,Detalle!$C$2:$C$1370,$B158)</f>
        <v>39.7472357032071</v>
      </c>
      <c r="L158" s="5"/>
      <c r="M158" s="5"/>
    </row>
    <row r="159" customFormat="false" ht="15" hidden="false" customHeight="false" outlineLevel="0" collapsed="false">
      <c r="A159" s="5" t="s">
        <v>139</v>
      </c>
      <c r="B159" s="5" t="s">
        <v>184</v>
      </c>
      <c r="C159" s="5"/>
      <c r="D159" s="5"/>
      <c r="E159" s="5"/>
      <c r="F159" s="5"/>
      <c r="G159" s="6" t="n">
        <f aca="false">SUMIFS(Detalle!$I$2:$I$1370,Detalle!$A$2:$A$1370,"2b65e967-object_0-1",Detalle!$B$2:$B$1370,$A159,Detalle!$C$2:$C$1370,$B159)</f>
        <v>24.4163016568273</v>
      </c>
      <c r="H159" s="6" t="n">
        <f aca="false">SUMIFS(Detalle!$I$2:$I$1370,Detalle!$A$2:$A$1370,"5ed925a3-object_2",Detalle!$B$2:$B$1370,$A159,Detalle!$C$2:$C$1370,$B159)</f>
        <v>24.516557747267</v>
      </c>
      <c r="I159" s="6" t="n">
        <f aca="false">SUMIFS(Detalle!$I$2:$I$1370,Detalle!$A$2:$A$1370,"70ef0058-object_0",Detalle!$B$2:$B$1370,$A159,Detalle!$C$2:$C$1370,$B159)</f>
        <v>20.36250738024</v>
      </c>
      <c r="J159" s="6" t="n">
        <f aca="false">SUMIFS(Detalle!$I$2:$I$1370,Detalle!$A$2:$A$1370,"80c13944-object_3",Detalle!$B$2:$B$1370,$A159,Detalle!$C$2:$C$1370,$B159)</f>
        <v>24.1769004822007</v>
      </c>
      <c r="K159" s="6" t="n">
        <f aca="false">SUMIFS(Detalle!$I$2:$I$1370,Detalle!$A$2:$A$1370,"fba550bc-object_1",Detalle!$B$2:$B$1370,$A159,Detalle!$C$2:$C$1370,$B159)</f>
        <v>20.0989142942913</v>
      </c>
      <c r="L159" s="5"/>
      <c r="M159" s="5"/>
    </row>
    <row r="160" customFormat="false" ht="15" hidden="false" customHeight="false" outlineLevel="0" collapsed="false">
      <c r="A160" s="5" t="s">
        <v>139</v>
      </c>
      <c r="B160" s="5" t="s">
        <v>185</v>
      </c>
      <c r="C160" s="5"/>
      <c r="D160" s="5"/>
      <c r="E160" s="5"/>
      <c r="F160" s="5"/>
      <c r="G160" s="6" t="n">
        <f aca="false">SUMIFS(Detalle!$I$2:$I$1370,Detalle!$A$2:$A$1370,"2b65e967-object_0-1",Detalle!$B$2:$B$1370,$A160,Detalle!$C$2:$C$1370,$B160)</f>
        <v>14.407731860598</v>
      </c>
      <c r="H160" s="6" t="n">
        <f aca="false">SUMIFS(Detalle!$I$2:$I$1370,Detalle!$A$2:$A$1370,"5ed925a3-object_2",Detalle!$B$2:$B$1370,$A160,Detalle!$C$2:$C$1370,$B160)</f>
        <v>13.944231268861</v>
      </c>
      <c r="I160" s="6" t="n">
        <f aca="false">SUMIFS(Detalle!$I$2:$I$1370,Detalle!$A$2:$A$1370,"70ef0058-object_0",Detalle!$B$2:$B$1370,$A160,Detalle!$C$2:$C$1370,$B160)</f>
        <v>13.1288214632389</v>
      </c>
      <c r="J160" s="6" t="n">
        <f aca="false">SUMIFS(Detalle!$I$2:$I$1370,Detalle!$A$2:$A$1370,"80c13944-object_3",Detalle!$B$2:$B$1370,$A160,Detalle!$C$2:$C$1370,$B160)</f>
        <v>13.3131998676705</v>
      </c>
      <c r="K160" s="6" t="n">
        <f aca="false">SUMIFS(Detalle!$I$2:$I$1370,Detalle!$A$2:$A$1370,"fba550bc-object_1",Detalle!$B$2:$B$1370,$A160,Detalle!$C$2:$C$1370,$B160)</f>
        <v>9.68014209236003</v>
      </c>
      <c r="L160" s="5"/>
      <c r="M160" s="5"/>
    </row>
    <row r="161" customFormat="false" ht="15" hidden="false" customHeight="false" outlineLevel="0" collapsed="false">
      <c r="A161" s="5" t="s">
        <v>139</v>
      </c>
      <c r="B161" s="5" t="s">
        <v>186</v>
      </c>
      <c r="C161" s="5"/>
      <c r="D161" s="5"/>
      <c r="E161" s="5"/>
      <c r="F161" s="5"/>
      <c r="G161" s="6" t="n">
        <f aca="false">SUMIFS(Detalle!$I$2:$I$1370,Detalle!$A$2:$A$1370,"2b65e967-object_0-1",Detalle!$B$2:$B$1370,$A161,Detalle!$C$2:$C$1370,$B161)</f>
        <v>11.2207198628833</v>
      </c>
      <c r="H161" s="6" t="n">
        <f aca="false">SUMIFS(Detalle!$I$2:$I$1370,Detalle!$A$2:$A$1370,"5ed925a3-object_2",Detalle!$B$2:$B$1370,$A161,Detalle!$C$2:$C$1370,$B161)</f>
        <v>13.1942862281911</v>
      </c>
      <c r="I161" s="6" t="n">
        <f aca="false">SUMIFS(Detalle!$I$2:$I$1370,Detalle!$A$2:$A$1370,"70ef0058-object_0",Detalle!$B$2:$B$1370,$A161,Detalle!$C$2:$C$1370,$B161)</f>
        <v>16.5198791141711</v>
      </c>
      <c r="J161" s="6" t="n">
        <f aca="false">SUMIFS(Detalle!$I$2:$I$1370,Detalle!$A$2:$A$1370,"80c13944-object_3",Detalle!$B$2:$B$1370,$A161,Detalle!$C$2:$C$1370,$B161)</f>
        <v>11.2075066916622</v>
      </c>
      <c r="K161" s="6" t="n">
        <f aca="false">SUMIFS(Detalle!$I$2:$I$1370,Detalle!$A$2:$A$1370,"fba550bc-object_1",Detalle!$B$2:$B$1370,$A161,Detalle!$C$2:$C$1370,$B161)</f>
        <v>12.4008105268424</v>
      </c>
      <c r="L161" s="5"/>
      <c r="M161" s="5"/>
    </row>
    <row r="162" customFormat="false" ht="15" hidden="false" customHeight="false" outlineLevel="0" collapsed="false">
      <c r="A162" s="5" t="s">
        <v>139</v>
      </c>
      <c r="B162" s="5" t="s">
        <v>187</v>
      </c>
      <c r="C162" s="5"/>
      <c r="D162" s="5"/>
      <c r="E162" s="5"/>
      <c r="F162" s="5"/>
      <c r="G162" s="6" t="n">
        <f aca="false">SUMIFS(Detalle!$I$2:$I$1370,Detalle!$A$2:$A$1370,"2b65e967-object_0-1",Detalle!$B$2:$B$1370,$A162,Detalle!$C$2:$C$1370,$B162)</f>
        <v>24.3877356693963</v>
      </c>
      <c r="H162" s="6" t="n">
        <f aca="false">SUMIFS(Detalle!$I$2:$I$1370,Detalle!$A$2:$A$1370,"5ed925a3-object_2",Detalle!$B$2:$B$1370,$A162,Detalle!$C$2:$C$1370,$B162)</f>
        <v>22.5467653936087</v>
      </c>
      <c r="I162" s="6" t="n">
        <f aca="false">SUMIFS(Detalle!$I$2:$I$1370,Detalle!$A$2:$A$1370,"70ef0058-object_0",Detalle!$B$2:$B$1370,$A162,Detalle!$C$2:$C$1370,$B162)</f>
        <v>23.3029450910146</v>
      </c>
      <c r="J162" s="6" t="n">
        <f aca="false">SUMIFS(Detalle!$I$2:$I$1370,Detalle!$A$2:$A$1370,"80c13944-object_3",Detalle!$B$2:$B$1370,$A162,Detalle!$C$2:$C$1370,$B162)</f>
        <v>21.4093091798578</v>
      </c>
      <c r="K162" s="6" t="n">
        <f aca="false">SUMIFS(Detalle!$I$2:$I$1370,Detalle!$A$2:$A$1370,"fba550bc-object_1",Detalle!$B$2:$B$1370,$A162,Detalle!$C$2:$C$1370,$B162)</f>
        <v>17.249912443088</v>
      </c>
      <c r="L162" s="5"/>
      <c r="M162" s="5"/>
    </row>
    <row r="163" customFormat="false" ht="15" hidden="false" customHeight="false" outlineLevel="0" collapsed="false">
      <c r="A163" s="7" t="s">
        <v>143</v>
      </c>
      <c r="B163" s="7" t="s">
        <v>188</v>
      </c>
      <c r="C163" s="7"/>
      <c r="D163" s="7"/>
      <c r="E163" s="7"/>
      <c r="F163" s="7"/>
      <c r="G163" s="8" t="n">
        <f aca="false">SUMIFS(Detalle!$I$2:$I$1370,Detalle!$A$2:$A$1370,"2b65e967-object_0-1",Detalle!$B$2:$B$1370,$A163,Detalle!$C$2:$C$1370,$B163)</f>
        <v>51.2464292515711</v>
      </c>
      <c r="H163" s="8" t="n">
        <f aca="false">SUMIFS(Detalle!$I$2:$I$1370,Detalle!$A$2:$A$1370,"5ed925a3-object_2",Detalle!$B$2:$B$1370,$A163,Detalle!$C$2:$C$1370,$B163)</f>
        <v>51.408257889162</v>
      </c>
      <c r="I163" s="8" t="n">
        <f aca="false">SUMIFS(Detalle!$I$2:$I$1370,Detalle!$A$2:$A$1370,"70ef0058-object_0",Detalle!$B$2:$B$1370,$A163,Detalle!$C$2:$C$1370,$B163)</f>
        <v>48.0813377498024</v>
      </c>
      <c r="J163" s="8" t="n">
        <f aca="false">SUMIFS(Detalle!$I$2:$I$1370,Detalle!$A$2:$A$1370,"80c13944-object_3",Detalle!$B$2:$B$1370,$A163,Detalle!$C$2:$C$1370,$B163)</f>
        <v>51.3642469749677</v>
      </c>
      <c r="K163" s="8" t="n">
        <f aca="false">SUMIFS(Detalle!$I$2:$I$1370,Detalle!$A$2:$A$1370,"fba550bc-object_1",Detalle!$B$2:$B$1370,$A163,Detalle!$C$2:$C$1370,$B163)</f>
        <v>51.2297493370691</v>
      </c>
      <c r="L163" s="7"/>
      <c r="M163" s="7"/>
    </row>
    <row r="164" customFormat="false" ht="15" hidden="false" customHeight="false" outlineLevel="0" collapsed="false">
      <c r="A164" s="7" t="s">
        <v>143</v>
      </c>
      <c r="B164" s="7" t="s">
        <v>189</v>
      </c>
      <c r="C164" s="7"/>
      <c r="D164" s="7"/>
      <c r="E164" s="7"/>
      <c r="F164" s="7"/>
      <c r="G164" s="8" t="n">
        <f aca="false">SUMIFS(Detalle!$I$2:$I$1370,Detalle!$A$2:$A$1370,"2b65e967-object_0-1",Detalle!$B$2:$B$1370,$A164,Detalle!$C$2:$C$1370,$B164)</f>
        <v>31.9739097314797</v>
      </c>
      <c r="H164" s="8" t="n">
        <f aca="false">SUMIFS(Detalle!$I$2:$I$1370,Detalle!$A$2:$A$1370,"5ed925a3-object_2",Detalle!$B$2:$B$1370,$A164,Detalle!$C$2:$C$1370,$B164)</f>
        <v>31.8270979475188</v>
      </c>
      <c r="I164" s="8" t="n">
        <f aca="false">SUMIFS(Detalle!$I$2:$I$1370,Detalle!$A$2:$A$1370,"70ef0058-object_0",Detalle!$B$2:$B$1370,$A164,Detalle!$C$2:$C$1370,$B164)</f>
        <v>27.5049284992345</v>
      </c>
      <c r="J164" s="8" t="n">
        <f aca="false">SUMIFS(Detalle!$I$2:$I$1370,Detalle!$A$2:$A$1370,"80c13944-object_3",Detalle!$B$2:$B$1370,$A164,Detalle!$C$2:$C$1370,$B164)</f>
        <v>32.3930085913926</v>
      </c>
      <c r="K164" s="8" t="n">
        <f aca="false">SUMIFS(Detalle!$I$2:$I$1370,Detalle!$A$2:$A$1370,"fba550bc-object_1",Detalle!$B$2:$B$1370,$A164,Detalle!$C$2:$C$1370,$B164)</f>
        <v>31.7002551658578</v>
      </c>
      <c r="L164" s="7"/>
      <c r="M164" s="7"/>
    </row>
    <row r="165" customFormat="false" ht="15" hidden="false" customHeight="false" outlineLevel="0" collapsed="false">
      <c r="A165" s="7" t="s">
        <v>143</v>
      </c>
      <c r="B165" s="7" t="s">
        <v>190</v>
      </c>
      <c r="C165" s="7"/>
      <c r="D165" s="7"/>
      <c r="E165" s="7"/>
      <c r="F165" s="7"/>
      <c r="G165" s="8" t="n">
        <f aca="false">SUMIFS(Detalle!$I$2:$I$1370,Detalle!$A$2:$A$1370,"2b65e967-object_0-1",Detalle!$B$2:$B$1370,$A165,Detalle!$C$2:$C$1370,$B165)</f>
        <v>19.2725195200914</v>
      </c>
      <c r="H165" s="8" t="n">
        <f aca="false">SUMIFS(Detalle!$I$2:$I$1370,Detalle!$A$2:$A$1370,"5ed925a3-object_2",Detalle!$B$2:$B$1370,$A165,Detalle!$C$2:$C$1370,$B165)</f>
        <v>19.5811599416432</v>
      </c>
      <c r="I165" s="8" t="n">
        <f aca="false">SUMIFS(Detalle!$I$2:$I$1370,Detalle!$A$2:$A$1370,"70ef0058-object_0",Detalle!$B$2:$B$1370,$A165,Detalle!$C$2:$C$1370,$B165)</f>
        <v>20.5754585755887</v>
      </c>
      <c r="J165" s="8" t="n">
        <f aca="false">SUMIFS(Detalle!$I$2:$I$1370,Detalle!$A$2:$A$1370,"80c13944-object_3",Detalle!$B$2:$B$1370,$A165,Detalle!$C$2:$C$1370,$B165)</f>
        <v>18.9712383835751</v>
      </c>
      <c r="K165" s="8" t="n">
        <f aca="false">SUMIFS(Detalle!$I$2:$I$1370,Detalle!$A$2:$A$1370,"fba550bc-object_1",Detalle!$B$2:$B$1370,$A165,Detalle!$C$2:$C$1370,$B165)</f>
        <v>19.5294941712113</v>
      </c>
      <c r="L165" s="7"/>
      <c r="M165" s="7"/>
    </row>
    <row r="166" customFormat="false" ht="15" hidden="false" customHeight="false" outlineLevel="0" collapsed="false">
      <c r="A166" s="7" t="s">
        <v>143</v>
      </c>
      <c r="B166" s="7" t="s">
        <v>191</v>
      </c>
      <c r="C166" s="7"/>
      <c r="D166" s="7"/>
      <c r="E166" s="7"/>
      <c r="F166" s="7"/>
      <c r="G166" s="8" t="n">
        <f aca="false">SUMIFS(Detalle!$I$2:$I$1370,Detalle!$A$2:$A$1370,"2b65e967-object_0-1",Detalle!$B$2:$B$1370,$A166,Detalle!$C$2:$C$1370,$B166)</f>
        <v>13.7783279375357</v>
      </c>
      <c r="H166" s="8" t="n">
        <f aca="false">SUMIFS(Detalle!$I$2:$I$1370,Detalle!$A$2:$A$1370,"5ed925a3-object_2",Detalle!$B$2:$B$1370,$A166,Detalle!$C$2:$C$1370,$B166)</f>
        <v>13.8208225912825</v>
      </c>
      <c r="I166" s="8" t="n">
        <f aca="false">SUMIFS(Detalle!$I$2:$I$1370,Detalle!$A$2:$A$1370,"70ef0058-object_0",Detalle!$B$2:$B$1370,$A166,Detalle!$C$2:$C$1370,$B166)</f>
        <v>14.2011828398163</v>
      </c>
      <c r="J166" s="8" t="n">
        <f aca="false">SUMIFS(Detalle!$I$2:$I$1370,Detalle!$A$2:$A$1370,"80c13944-object_3",Detalle!$B$2:$B$1370,$A166,Detalle!$C$2:$C$1370,$B166)</f>
        <v>12.9989173040872</v>
      </c>
      <c r="K166" s="8" t="n">
        <f aca="false">SUMIFS(Detalle!$I$2:$I$1370,Detalle!$A$2:$A$1370,"fba550bc-object_1",Detalle!$B$2:$B$1370,$A166,Detalle!$C$2:$C$1370,$B166)</f>
        <v>7.61825186371141</v>
      </c>
      <c r="L166" s="7"/>
      <c r="M166" s="7"/>
    </row>
    <row r="167" customFormat="false" ht="15" hidden="false" customHeight="false" outlineLevel="0" collapsed="false">
      <c r="A167" s="7" t="s">
        <v>143</v>
      </c>
      <c r="B167" s="7" t="s">
        <v>192</v>
      </c>
      <c r="C167" s="7"/>
      <c r="D167" s="7"/>
      <c r="E167" s="7"/>
      <c r="F167" s="7"/>
      <c r="G167" s="8" t="n">
        <f aca="false">SUMIFS(Detalle!$I$2:$I$1370,Detalle!$A$2:$A$1370,"2b65e967-object_0-1",Detalle!$B$2:$B$1370,$A167,Detalle!$C$2:$C$1370,$B167)</f>
        <v>11.1302609026852</v>
      </c>
      <c r="H167" s="8" t="n">
        <f aca="false">SUMIFS(Detalle!$I$2:$I$1370,Detalle!$A$2:$A$1370,"5ed925a3-object_2",Detalle!$B$2:$B$1370,$A167,Detalle!$C$2:$C$1370,$B167)</f>
        <v>12.0949997002218</v>
      </c>
      <c r="I167" s="8" t="n">
        <f aca="false">SUMIFS(Detalle!$I$2:$I$1370,Detalle!$A$2:$A$1370,"70ef0058-object_0",Detalle!$B$2:$B$1370,$A167,Detalle!$C$2:$C$1370,$B167)</f>
        <v>14.9769336228722</v>
      </c>
      <c r="J167" s="8" t="n">
        <f aca="false">SUMIFS(Detalle!$I$2:$I$1370,Detalle!$A$2:$A$1370,"80c13944-object_3",Detalle!$B$2:$B$1370,$A167,Detalle!$C$2:$C$1370,$B167)</f>
        <v>11.2836964040461</v>
      </c>
      <c r="K167" s="8" t="n">
        <f aca="false">SUMIFS(Detalle!$I$2:$I$1370,Detalle!$A$2:$A$1370,"fba550bc-object_1",Detalle!$B$2:$B$1370,$A167,Detalle!$C$2:$C$1370,$B167)</f>
        <v>14.1822684745084</v>
      </c>
      <c r="L167" s="7"/>
      <c r="M167" s="7"/>
    </row>
    <row r="168" customFormat="false" ht="15" hidden="false" customHeight="false" outlineLevel="0" collapsed="false">
      <c r="A168" s="7" t="s">
        <v>143</v>
      </c>
      <c r="B168" s="7" t="s">
        <v>193</v>
      </c>
      <c r="C168" s="7"/>
      <c r="D168" s="7"/>
      <c r="E168" s="7"/>
      <c r="F168" s="7"/>
      <c r="G168" s="8" t="n">
        <f aca="false">SUMIFS(Detalle!$I$2:$I$1370,Detalle!$A$2:$A$1370,"2b65e967-object_0-1",Detalle!$B$2:$B$1370,$A168,Detalle!$C$2:$C$1370,$B168)</f>
        <v>32.7651875833175</v>
      </c>
      <c r="H168" s="8" t="n">
        <f aca="false">SUMIFS(Detalle!$I$2:$I$1370,Detalle!$A$2:$A$1370,"5ed925a3-object_2",Detalle!$B$2:$B$1370,$A168,Detalle!$C$2:$C$1370,$B168)</f>
        <v>32.7507644343186</v>
      </c>
      <c r="I168" s="8" t="n">
        <f aca="false">SUMIFS(Detalle!$I$2:$I$1370,Detalle!$A$2:$A$1370,"70ef0058-object_0",Detalle!$B$2:$B$1370,$A168,Detalle!$C$2:$C$1370,$B168)</f>
        <v>28.1903651592631</v>
      </c>
      <c r="J168" s="8" t="n">
        <f aca="false">SUMIFS(Detalle!$I$2:$I$1370,Detalle!$A$2:$A$1370,"80c13944-object_3",Detalle!$B$2:$B$1370,$A168,Detalle!$C$2:$C$1370,$B168)</f>
        <v>32.28729536546</v>
      </c>
      <c r="K168" s="8" t="n">
        <f aca="false">SUMIFS(Detalle!$I$2:$I$1370,Detalle!$A$2:$A$1370,"fba550bc-object_1",Detalle!$B$2:$B$1370,$A168,Detalle!$C$2:$C$1370,$B168)</f>
        <v>31.5814279281533</v>
      </c>
      <c r="L168" s="7"/>
      <c r="M168" s="7"/>
    </row>
    <row r="169" customFormat="false" ht="15" hidden="false" customHeight="false" outlineLevel="0" collapsed="false">
      <c r="A169" s="5" t="s">
        <v>139</v>
      </c>
      <c r="B169" s="5" t="s">
        <v>194</v>
      </c>
      <c r="C169" s="5"/>
      <c r="D169" s="5"/>
      <c r="E169" s="5"/>
      <c r="F169" s="5"/>
      <c r="G169" s="6" t="n">
        <f aca="false">SUMIFS(Detalle!$I$2:$I$1370,Detalle!$A$2:$A$1370,"2b65e967-object_0-1",Detalle!$B$2:$B$1370,$A169,Detalle!$C$2:$C$1370,$B169)</f>
        <v>18.0356122643306</v>
      </c>
      <c r="H169" s="6" t="n">
        <f aca="false">SUMIFS(Detalle!$I$2:$I$1370,Detalle!$A$2:$A$1370,"5ed925a3-object_2",Detalle!$B$2:$B$1370,$A169,Detalle!$C$2:$C$1370,$B169)</f>
        <v>18.6764794052401</v>
      </c>
      <c r="I169" s="6" t="n">
        <f aca="false">SUMIFS(Detalle!$I$2:$I$1370,Detalle!$A$2:$A$1370,"70ef0058-object_0",Detalle!$B$2:$B$1370,$A169,Detalle!$C$2:$C$1370,$B169)</f>
        <v>22.4444855847652</v>
      </c>
      <c r="J169" s="6" t="n">
        <f aca="false">SUMIFS(Detalle!$I$2:$I$1370,Detalle!$A$2:$A$1370,"80c13944-object_3",Detalle!$B$2:$B$1370,$A169,Detalle!$C$2:$C$1370,$B169)</f>
        <v>18.2341029162615</v>
      </c>
      <c r="K169" s="6" t="n">
        <f aca="false">SUMIFS(Detalle!$I$2:$I$1370,Detalle!$A$2:$A$1370,"fba550bc-object_1",Detalle!$B$2:$B$1370,$A169,Detalle!$C$2:$C$1370,$B169)</f>
        <v>19.6198028718667</v>
      </c>
      <c r="L169" s="5"/>
      <c r="M169" s="5"/>
    </row>
    <row r="170" customFormat="false" ht="15" hidden="false" customHeight="false" outlineLevel="0" collapsed="false">
      <c r="A170" s="5" t="s">
        <v>139</v>
      </c>
      <c r="B170" s="5" t="s">
        <v>195</v>
      </c>
      <c r="C170" s="5"/>
      <c r="D170" s="5"/>
      <c r="E170" s="5"/>
      <c r="F170" s="5"/>
      <c r="G170" s="6" t="n">
        <f aca="false">SUMIFS(Detalle!$I$2:$I$1370,Detalle!$A$2:$A$1370,"2b65e967-object_0-1",Detalle!$B$2:$B$1370,$A170,Detalle!$C$2:$C$1370,$B170)</f>
        <v>43.7935631308322</v>
      </c>
      <c r="H170" s="6" t="n">
        <f aca="false">SUMIFS(Detalle!$I$2:$I$1370,Detalle!$A$2:$A$1370,"5ed925a3-object_2",Detalle!$B$2:$B$1370,$A170,Detalle!$C$2:$C$1370,$B170)</f>
        <v>43.6382576893099</v>
      </c>
      <c r="I170" s="6" t="n">
        <f aca="false">SUMIFS(Detalle!$I$2:$I$1370,Detalle!$A$2:$A$1370,"70ef0058-object_0",Detalle!$B$2:$B$1370,$A170,Detalle!$C$2:$C$1370,$B170)</f>
        <v>39.5794514105015</v>
      </c>
      <c r="J170" s="6" t="n">
        <f aca="false">SUMIFS(Detalle!$I$2:$I$1370,Detalle!$A$2:$A$1370,"80c13944-object_3",Detalle!$B$2:$B$1370,$A170,Detalle!$C$2:$C$1370,$B170)</f>
        <v>44.1128910988361</v>
      </c>
      <c r="K170" s="6" t="n">
        <f aca="false">SUMIFS(Detalle!$I$2:$I$1370,Detalle!$A$2:$A$1370,"fba550bc-object_1",Detalle!$B$2:$B$1370,$A170,Detalle!$C$2:$C$1370,$B170)</f>
        <v>43.4917196177515</v>
      </c>
      <c r="L170" s="5"/>
      <c r="M170" s="5"/>
    </row>
    <row r="171" customFormat="false" ht="15" hidden="false" customHeight="false" outlineLevel="0" collapsed="false">
      <c r="A171" s="5" t="s">
        <v>139</v>
      </c>
      <c r="B171" s="5" t="s">
        <v>196</v>
      </c>
      <c r="C171" s="5"/>
      <c r="D171" s="5"/>
      <c r="E171" s="5"/>
      <c r="F171" s="5"/>
      <c r="G171" s="6" t="n">
        <f aca="false">SUMIFS(Detalle!$I$2:$I$1370,Detalle!$A$2:$A$1370,"2b65e967-object_0-1",Detalle!$B$2:$B$1370,$A171,Detalle!$C$2:$C$1370,$B171)</f>
        <v>25.7579508665016</v>
      </c>
      <c r="H171" s="6" t="n">
        <f aca="false">SUMIFS(Detalle!$I$2:$I$1370,Detalle!$A$2:$A$1370,"5ed925a3-object_2",Detalle!$B$2:$B$1370,$A171,Detalle!$C$2:$C$1370,$B171)</f>
        <v>24.9627275815896</v>
      </c>
      <c r="I171" s="6" t="n">
        <f aca="false">SUMIFS(Detalle!$I$2:$I$1370,Detalle!$A$2:$A$1370,"70ef0058-object_0",Detalle!$B$2:$B$1370,$A171,Detalle!$C$2:$C$1370,$B171)</f>
        <v>17.1349658257363</v>
      </c>
      <c r="J171" s="6" t="n">
        <f aca="false">SUMIFS(Detalle!$I$2:$I$1370,Detalle!$A$2:$A$1370,"80c13944-object_3",Detalle!$B$2:$B$1370,$A171,Detalle!$C$2:$C$1370,$B171)</f>
        <v>25.8787881825746</v>
      </c>
      <c r="K171" s="6" t="n">
        <f aca="false">SUMIFS(Detalle!$I$2:$I$1370,Detalle!$A$2:$A$1370,"fba550bc-object_1",Detalle!$B$2:$B$1370,$A171,Detalle!$C$2:$C$1370,$B171)</f>
        <v>23.8728673637865</v>
      </c>
      <c r="L171" s="5"/>
      <c r="M171" s="5"/>
    </row>
    <row r="172" customFormat="false" ht="15" hidden="false" customHeight="false" outlineLevel="0" collapsed="false">
      <c r="A172" s="5" t="s">
        <v>139</v>
      </c>
      <c r="B172" s="5" t="s">
        <v>197</v>
      </c>
      <c r="C172" s="5"/>
      <c r="D172" s="5"/>
      <c r="E172" s="5"/>
      <c r="F172" s="5"/>
      <c r="G172" s="6" t="n">
        <f aca="false">SUMIFS(Detalle!$I$2:$I$1370,Detalle!$A$2:$A$1370,"2b65e967-object_0-1",Detalle!$B$2:$B$1370,$A172,Detalle!$C$2:$C$1370,$B172)</f>
        <v>14.85240906494</v>
      </c>
      <c r="H172" s="6" t="n">
        <f aca="false">SUMIFS(Detalle!$I$2:$I$1370,Detalle!$A$2:$A$1370,"5ed925a3-object_2",Detalle!$B$2:$B$1370,$A172,Detalle!$C$2:$C$1370,$B172)</f>
        <v>13.0642324679737</v>
      </c>
      <c r="I172" s="6" t="n">
        <f aca="false">SUMIFS(Detalle!$I$2:$I$1370,Detalle!$A$2:$A$1370,"70ef0058-object_0",Detalle!$B$2:$B$1370,$A172,Detalle!$C$2:$C$1370,$B172)</f>
        <v>10.1379979785648</v>
      </c>
      <c r="J172" s="6" t="n">
        <f aca="false">SUMIFS(Detalle!$I$2:$I$1370,Detalle!$A$2:$A$1370,"80c13944-object_3",Detalle!$B$2:$B$1370,$A172,Detalle!$C$2:$C$1370,$B172)</f>
        <v>12.7674910527213</v>
      </c>
      <c r="K172" s="6" t="n">
        <f aca="false">SUMIFS(Detalle!$I$2:$I$1370,Detalle!$A$2:$A$1370,"fba550bc-object_1",Detalle!$B$2:$B$1370,$A172,Detalle!$C$2:$C$1370,$B172)</f>
        <v>11.7657977685496</v>
      </c>
      <c r="L172" s="5"/>
      <c r="M172" s="5"/>
    </row>
    <row r="173" customFormat="false" ht="15" hidden="false" customHeight="false" outlineLevel="0" collapsed="false">
      <c r="A173" s="5" t="s">
        <v>139</v>
      </c>
      <c r="B173" s="5" t="s">
        <v>198</v>
      </c>
      <c r="C173" s="5"/>
      <c r="D173" s="5"/>
      <c r="E173" s="5"/>
      <c r="F173" s="5"/>
      <c r="G173" s="6" t="n">
        <f aca="false">SUMIFS(Detalle!$I$2:$I$1370,Detalle!$A$2:$A$1370,"2b65e967-object_0-1",Detalle!$B$2:$B$1370,$A173,Detalle!$C$2:$C$1370,$B173)</f>
        <v>12.4947629023043</v>
      </c>
      <c r="H173" s="6" t="n">
        <f aca="false">SUMIFS(Detalle!$I$2:$I$1370,Detalle!$A$2:$A$1370,"5ed925a3-object_2",Detalle!$B$2:$B$1370,$A173,Detalle!$C$2:$C$1370,$B173)</f>
        <v>11.9317205268102</v>
      </c>
      <c r="I173" s="6" t="n">
        <f aca="false">SUMIFS(Detalle!$I$2:$I$1370,Detalle!$A$2:$A$1370,"70ef0058-object_0",Detalle!$B$2:$B$1370,$A173,Detalle!$C$2:$C$1370,$B173)</f>
        <v>11.7579481431817</v>
      </c>
      <c r="J173" s="6" t="n">
        <f aca="false">SUMIFS(Detalle!$I$2:$I$1370,Detalle!$A$2:$A$1370,"80c13944-object_3",Detalle!$B$2:$B$1370,$A173,Detalle!$C$2:$C$1370,$B173)</f>
        <v>12.1170213832443</v>
      </c>
      <c r="K173" s="6" t="n">
        <f aca="false">SUMIFS(Detalle!$I$2:$I$1370,Detalle!$A$2:$A$1370,"fba550bc-object_1",Detalle!$B$2:$B$1370,$A173,Detalle!$C$2:$C$1370,$B173)</f>
        <v>13.1299344573973</v>
      </c>
      <c r="L173" s="5"/>
      <c r="M173" s="5"/>
    </row>
    <row r="174" customFormat="false" ht="15" hidden="false" customHeight="false" outlineLevel="0" collapsed="false">
      <c r="A174" s="5" t="s">
        <v>139</v>
      </c>
      <c r="B174" s="5" t="s">
        <v>199</v>
      </c>
      <c r="C174" s="5"/>
      <c r="D174" s="5"/>
      <c r="E174" s="5"/>
      <c r="F174" s="5"/>
      <c r="G174" s="6" t="n">
        <f aca="false">SUMIFS(Detalle!$I$2:$I$1370,Detalle!$A$2:$A$1370,"2b65e967-object_0-1",Detalle!$B$2:$B$1370,$A174,Detalle!$C$2:$C$1370,$B174)</f>
        <v>24.3372690916016</v>
      </c>
      <c r="H174" s="6" t="n">
        <f aca="false">SUMIFS(Detalle!$I$2:$I$1370,Detalle!$A$2:$A$1370,"5ed925a3-object_2",Detalle!$B$2:$B$1370,$A174,Detalle!$C$2:$C$1370,$B174)</f>
        <v>23.1666566740612</v>
      </c>
      <c r="I174" s="6" t="n">
        <f aca="false">SUMIFS(Detalle!$I$2:$I$1370,Detalle!$A$2:$A$1370,"70ef0058-object_0",Detalle!$B$2:$B$1370,$A174,Detalle!$C$2:$C$1370,$B174)</f>
        <v>20.3805702048454</v>
      </c>
      <c r="J174" s="6" t="n">
        <f aca="false">SUMIFS(Detalle!$I$2:$I$1370,Detalle!$A$2:$A$1370,"80c13944-object_3",Detalle!$B$2:$B$1370,$A174,Detalle!$C$2:$C$1370,$B174)</f>
        <v>21.9531132519975</v>
      </c>
      <c r="K174" s="6" t="n">
        <f aca="false">SUMIFS(Detalle!$I$2:$I$1370,Detalle!$A$2:$A$1370,"fba550bc-object_1",Detalle!$B$2:$B$1370,$A174,Detalle!$C$2:$C$1370,$B174)</f>
        <v>19.6692350027518</v>
      </c>
      <c r="L174" s="5"/>
      <c r="M174" s="5"/>
    </row>
    <row r="175" customFormat="false" ht="15" hidden="false" customHeight="false" outlineLevel="0" collapsed="false">
      <c r="A175" s="7" t="s">
        <v>143</v>
      </c>
      <c r="B175" s="7" t="s">
        <v>200</v>
      </c>
      <c r="C175" s="7"/>
      <c r="D175" s="7"/>
      <c r="E175" s="7"/>
      <c r="F175" s="7"/>
      <c r="G175" s="8" t="n">
        <f aca="false">SUMIFS(Detalle!$I$2:$I$1370,Detalle!$A$2:$A$1370,"2b65e967-object_0-1",Detalle!$B$2:$B$1370,$A175,Detalle!$C$2:$C$1370,$B175)</f>
        <v>50.9855265663683</v>
      </c>
      <c r="H175" s="8" t="n">
        <f aca="false">SUMIFS(Detalle!$I$2:$I$1370,Detalle!$A$2:$A$1370,"5ed925a3-object_2",Detalle!$B$2:$B$1370,$A175,Detalle!$C$2:$C$1370,$B175)</f>
        <v>51.1253672282511</v>
      </c>
      <c r="I175" s="8" t="n">
        <f aca="false">SUMIFS(Detalle!$I$2:$I$1370,Detalle!$A$2:$A$1370,"70ef0058-object_0",Detalle!$B$2:$B$1370,$A175,Detalle!$C$2:$C$1370,$B175)</f>
        <v>48.1013019243663</v>
      </c>
      <c r="J175" s="8" t="n">
        <f aca="false">SUMIFS(Detalle!$I$2:$I$1370,Detalle!$A$2:$A$1370,"80c13944-object_3",Detalle!$B$2:$B$1370,$A175,Detalle!$C$2:$C$1370,$B175)</f>
        <v>51.4985313430442</v>
      </c>
      <c r="K175" s="8" t="n">
        <f aca="false">SUMIFS(Detalle!$I$2:$I$1370,Detalle!$A$2:$A$1370,"fba550bc-object_1",Detalle!$B$2:$B$1370,$A175,Detalle!$C$2:$C$1370,$B175)</f>
        <v>52.535898333917</v>
      </c>
      <c r="L175" s="7"/>
      <c r="M175" s="7"/>
    </row>
    <row r="176" customFormat="false" ht="15" hidden="false" customHeight="false" outlineLevel="0" collapsed="false">
      <c r="A176" s="7" t="s">
        <v>143</v>
      </c>
      <c r="B176" s="7" t="s">
        <v>201</v>
      </c>
      <c r="C176" s="7"/>
      <c r="D176" s="7"/>
      <c r="E176" s="7"/>
      <c r="F176" s="7"/>
      <c r="G176" s="8" t="n">
        <f aca="false">SUMIFS(Detalle!$I$2:$I$1370,Detalle!$A$2:$A$1370,"2b65e967-object_0-1",Detalle!$B$2:$B$1370,$A176,Detalle!$C$2:$C$1370,$B176)</f>
        <v>31.9396305465626</v>
      </c>
      <c r="H176" s="8" t="n">
        <f aca="false">SUMIFS(Detalle!$I$2:$I$1370,Detalle!$A$2:$A$1370,"5ed925a3-object_2",Detalle!$B$2:$B$1370,$A176,Detalle!$C$2:$C$1370,$B176)</f>
        <v>32.2799128644803</v>
      </c>
      <c r="I176" s="8" t="n">
        <f aca="false">SUMIFS(Detalle!$I$2:$I$1370,Detalle!$A$2:$A$1370,"70ef0058-object_0",Detalle!$B$2:$B$1370,$A176,Detalle!$C$2:$C$1370,$B176)</f>
        <v>29.147694863353</v>
      </c>
      <c r="J176" s="8" t="n">
        <f aca="false">SUMIFS(Detalle!$I$2:$I$1370,Detalle!$A$2:$A$1370,"80c13944-object_3",Detalle!$B$2:$B$1370,$A176,Detalle!$C$2:$C$1370,$B176)</f>
        <v>12.8141572515564</v>
      </c>
      <c r="K176" s="8" t="n">
        <f aca="false">SUMIFS(Detalle!$I$2:$I$1370,Detalle!$A$2:$A$1370,"fba550bc-object_1",Detalle!$B$2:$B$1370,$A176,Detalle!$C$2:$C$1370,$B176)</f>
        <v>30.7040076049432</v>
      </c>
      <c r="L176" s="7"/>
      <c r="M176" s="7"/>
    </row>
    <row r="177" customFormat="false" ht="15" hidden="false" customHeight="false" outlineLevel="0" collapsed="false">
      <c r="A177" s="7" t="s">
        <v>143</v>
      </c>
      <c r="B177" s="7" t="s">
        <v>202</v>
      </c>
      <c r="C177" s="7"/>
      <c r="D177" s="7"/>
      <c r="E177" s="7"/>
      <c r="F177" s="7"/>
      <c r="G177" s="8" t="n">
        <f aca="false">SUMIFS(Detalle!$I$2:$I$1370,Detalle!$A$2:$A$1370,"2b65e967-object_0-1",Detalle!$B$2:$B$1370,$A177,Detalle!$C$2:$C$1370,$B177)</f>
        <v>19.0458960198058</v>
      </c>
      <c r="H177" s="8" t="n">
        <f aca="false">SUMIFS(Detalle!$I$2:$I$1370,Detalle!$A$2:$A$1370,"5ed925a3-object_2",Detalle!$B$2:$B$1370,$A177,Detalle!$C$2:$C$1370,$B177)</f>
        <v>18.844505066251</v>
      </c>
      <c r="I177" s="8" t="n">
        <f aca="false">SUMIFS(Detalle!$I$2:$I$1370,Detalle!$A$2:$A$1370,"70ef0058-object_0",Detalle!$B$2:$B$1370,$A177,Detalle!$C$2:$C$1370,$B177)</f>
        <v>18.9545577359926</v>
      </c>
      <c r="J177" s="8" t="n">
        <f aca="false">SUMIFS(Detalle!$I$2:$I$1370,Detalle!$A$2:$A$1370,"80c13944-object_3",Detalle!$B$2:$B$1370,$A177,Detalle!$C$2:$C$1370,$B177)</f>
        <v>38.6853264628926</v>
      </c>
      <c r="K177" s="8" t="n">
        <f aca="false">SUMIFS(Detalle!$I$2:$I$1370,Detalle!$A$2:$A$1370,"fba550bc-object_1",Detalle!$B$2:$B$1370,$A177,Detalle!$C$2:$C$1370,$B177)</f>
        <v>21.8318907289738</v>
      </c>
      <c r="L177" s="7"/>
      <c r="M177" s="7"/>
    </row>
    <row r="178" customFormat="false" ht="15" hidden="false" customHeight="false" outlineLevel="0" collapsed="false">
      <c r="A178" s="7" t="s">
        <v>143</v>
      </c>
      <c r="B178" s="7" t="s">
        <v>203</v>
      </c>
      <c r="C178" s="7"/>
      <c r="D178" s="7"/>
      <c r="E178" s="7"/>
      <c r="F178" s="7"/>
      <c r="G178" s="8" t="n">
        <f aca="false">SUMIFS(Detalle!$I$2:$I$1370,Detalle!$A$2:$A$1370,"2b65e967-object_0-1",Detalle!$B$2:$B$1370,$A178,Detalle!$C$2:$C$1370,$B178)</f>
        <v>12.9461055037136</v>
      </c>
      <c r="H178" s="8" t="n">
        <f aca="false">SUMIFS(Detalle!$I$2:$I$1370,Detalle!$A$2:$A$1370,"5ed925a3-object_2",Detalle!$B$2:$B$1370,$A178,Detalle!$C$2:$C$1370,$B178)</f>
        <v>13.3063033355317</v>
      </c>
      <c r="I178" s="8" t="n">
        <f aca="false">SUMIFS(Detalle!$I$2:$I$1370,Detalle!$A$2:$A$1370,"70ef0058-object_0",Detalle!$B$2:$B$1370,$A178,Detalle!$C$2:$C$1370,$B178)</f>
        <v>13.7847871989112</v>
      </c>
      <c r="J178" s="8" t="n">
        <f aca="false">SUMIFS(Detalle!$I$2:$I$1370,Detalle!$A$2:$A$1370,"80c13944-object_3",Detalle!$B$2:$B$1370,$A178,Detalle!$C$2:$C$1370,$B178)</f>
        <v>12.7836813666028</v>
      </c>
      <c r="K178" s="8" t="n">
        <f aca="false">SUMIFS(Detalle!$I$2:$I$1370,Detalle!$A$2:$A$1370,"fba550bc-object_1",Detalle!$B$2:$B$1370,$A178,Detalle!$C$2:$C$1370,$B178)</f>
        <v>9.87121629058888</v>
      </c>
      <c r="L178" s="7"/>
      <c r="M178" s="7"/>
    </row>
    <row r="179" customFormat="false" ht="15" hidden="false" customHeight="false" outlineLevel="0" collapsed="false">
      <c r="A179" s="7" t="s">
        <v>143</v>
      </c>
      <c r="B179" s="7" t="s">
        <v>204</v>
      </c>
      <c r="C179" s="7"/>
      <c r="D179" s="7"/>
      <c r="E179" s="7"/>
      <c r="F179" s="7"/>
      <c r="G179" s="8" t="n">
        <f aca="false">SUMIFS(Detalle!$I$2:$I$1370,Detalle!$A$2:$A$1370,"2b65e967-object_0-1",Detalle!$B$2:$B$1370,$A179,Detalle!$C$2:$C$1370,$B179)</f>
        <v>11.8196533993525</v>
      </c>
      <c r="H179" s="8" t="n">
        <f aca="false">SUMIFS(Detalle!$I$2:$I$1370,Detalle!$A$2:$A$1370,"5ed925a3-object_2",Detalle!$B$2:$B$1370,$A179,Detalle!$C$2:$C$1370,$B179)</f>
        <v>12.2392929232368</v>
      </c>
      <c r="I179" s="8" t="n">
        <f aca="false">SUMIFS(Detalle!$I$2:$I$1370,Detalle!$A$2:$A$1370,"70ef0058-object_0",Detalle!$B$2:$B$1370,$A179,Detalle!$C$2:$C$1370,$B179)</f>
        <v>15.1898848182209</v>
      </c>
      <c r="J179" s="8" t="n">
        <f aca="false">SUMIFS(Detalle!$I$2:$I$1370,Detalle!$A$2:$A$1370,"80c13944-object_3",Detalle!$B$2:$B$1370,$A179,Detalle!$C$2:$C$1370,$B179)</f>
        <v>11.5522651401991</v>
      </c>
      <c r="K179" s="8" t="n">
        <f aca="false">SUMIFS(Detalle!$I$2:$I$1370,Detalle!$A$2:$A$1370,"fba550bc-object_1",Detalle!$B$2:$B$1370,$A179,Detalle!$C$2:$C$1370,$B179)</f>
        <v>13.9892930404763</v>
      </c>
      <c r="L179" s="7"/>
      <c r="M179" s="7"/>
    </row>
    <row r="180" customFormat="false" ht="15" hidden="false" customHeight="false" outlineLevel="0" collapsed="false">
      <c r="A180" s="7" t="s">
        <v>143</v>
      </c>
      <c r="B180" s="7" t="s">
        <v>205</v>
      </c>
      <c r="C180" s="7"/>
      <c r="D180" s="7"/>
      <c r="E180" s="7"/>
      <c r="F180" s="7"/>
      <c r="G180" s="8" t="n">
        <f aca="false">SUMIFS(Detalle!$I$2:$I$1370,Detalle!$A$2:$A$1370,"2b65e967-object_0-1",Detalle!$B$2:$B$1370,$A180,Detalle!$C$2:$C$1370,$B180)</f>
        <v>32.9499143020377</v>
      </c>
      <c r="H180" s="8" t="n">
        <f aca="false">SUMIFS(Detalle!$I$2:$I$1370,Detalle!$A$2:$A$1370,"5ed925a3-object_2",Detalle!$B$2:$B$1370,$A180,Detalle!$C$2:$C$1370,$B180)</f>
        <v>32.448887823011</v>
      </c>
      <c r="I180" s="8" t="n">
        <f aca="false">SUMIFS(Detalle!$I$2:$I$1370,Detalle!$A$2:$A$1370,"70ef0058-object_0",Detalle!$B$2:$B$1370,$A180,Detalle!$C$2:$C$1370,$B180)</f>
        <v>25.6568163396011</v>
      </c>
      <c r="J180" s="8" t="n">
        <f aca="false">SUMIFS(Detalle!$I$2:$I$1370,Detalle!$A$2:$A$1370,"80c13944-object_3",Detalle!$B$2:$B$1370,$A180,Detalle!$C$2:$C$1370,$B180)</f>
        <v>33.2644284267827</v>
      </c>
      <c r="K180" s="8" t="n">
        <f aca="false">SUMIFS(Detalle!$I$2:$I$1370,Detalle!$A$2:$A$1370,"fba550bc-object_1",Detalle!$B$2:$B$1370,$A180,Detalle!$C$2:$C$1370,$B180)</f>
        <v>32.9160954620503</v>
      </c>
      <c r="L180" s="7"/>
      <c r="M180" s="7"/>
    </row>
    <row r="181" customFormat="false" ht="15" hidden="false" customHeight="false" outlineLevel="0" collapsed="false">
      <c r="A181" s="5" t="s">
        <v>114</v>
      </c>
      <c r="B181" s="5" t="s">
        <v>206</v>
      </c>
      <c r="C181" s="5"/>
      <c r="D181" s="5"/>
      <c r="E181" s="5"/>
      <c r="F181" s="5"/>
      <c r="G181" s="6" t="n">
        <f aca="false">SUMIFS(Detalle!$I$2:$I$1370,Detalle!$A$2:$A$1370,"2b65e967-object_0-1",Detalle!$B$2:$B$1370,$A181,Detalle!$C$2:$C$1370,$B181)</f>
        <v>30.3523138449819</v>
      </c>
      <c r="H181" s="6" t="n">
        <f aca="false">SUMIFS(Detalle!$I$2:$I$1370,Detalle!$A$2:$A$1370,"5ed925a3-object_2",Detalle!$B$2:$B$1370,$A181,Detalle!$C$2:$C$1370,$B181)</f>
        <v>29.1908987349361</v>
      </c>
      <c r="I181" s="6" t="n">
        <f aca="false">SUMIFS(Detalle!$I$2:$I$1370,Detalle!$A$2:$A$1370,"70ef0058-object_0",Detalle!$B$2:$B$1370,$A181,Detalle!$C$2:$C$1370,$B181)</f>
        <v>34.0503257312692</v>
      </c>
      <c r="J181" s="6" t="n">
        <f aca="false">SUMIFS(Detalle!$I$2:$I$1370,Detalle!$A$2:$A$1370,"80c13944-object_3",Detalle!$B$2:$B$1370,$A181,Detalle!$C$2:$C$1370,$B181)</f>
        <v>28.648284227727</v>
      </c>
      <c r="K181" s="6" t="n">
        <f aca="false">SUMIFS(Detalle!$I$2:$I$1370,Detalle!$A$2:$A$1370,"fba550bc-object_1",Detalle!$B$2:$B$1370,$A181,Detalle!$C$2:$C$1370,$B181)</f>
        <v>23.7369290038525</v>
      </c>
      <c r="L181" s="6" t="n">
        <f aca="false">SUMIFS(Detalle!$I$2:$I$1370,Detalle!$A$2:$A$1370,"38448021-object_5",Detalle!$B$2:$B$1370,$A181,Detalle!$C$2:$C$1370,$B181)</f>
        <v>61.4621514342562</v>
      </c>
      <c r="M18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9" t="s">
        <v>207</v>
      </c>
    </row>
    <row r="3" customFormat="false" ht="15" hidden="false" customHeight="false" outlineLevel="0" collapsed="false">
      <c r="A3" s="10" t="s">
        <v>208</v>
      </c>
      <c r="B3" s="11" t="n">
        <v>95</v>
      </c>
      <c r="C3" s="12" t="s">
        <v>209</v>
      </c>
    </row>
    <row r="5" customFormat="false" ht="15" hidden="false" customHeight="false" outlineLevel="0" collapsed="false">
      <c r="A5" s="13" t="s">
        <v>210</v>
      </c>
    </row>
    <row r="6" customFormat="false" ht="15" hidden="false" customHeight="false" outlineLevel="0" collapsed="false">
      <c r="A6" s="13" t="s">
        <v>211</v>
      </c>
    </row>
    <row r="7" customFormat="false" ht="15" hidden="false" customHeight="false" outlineLevel="0" collapsed="false">
      <c r="A7" s="13" t="s">
        <v>212</v>
      </c>
    </row>
    <row r="8" customFormat="false" ht="15" hidden="false" customHeight="false" outlineLevel="0" collapsed="false">
      <c r="A8" s="13" t="s">
        <v>213</v>
      </c>
    </row>
    <row r="9" customFormat="false" ht="15" hidden="false" customHeight="false" outlineLevel="0" collapsed="false">
      <c r="A9" s="13" t="s">
        <v>214</v>
      </c>
    </row>
    <row r="10" customFormat="false" ht="15" hidden="false" customHeight="false" outlineLevel="0" collapsed="false">
      <c r="A10" s="13" t="s">
        <v>215</v>
      </c>
    </row>
    <row r="11" customFormat="false" ht="15" hidden="false" customHeight="false" outlineLevel="0" collapsed="false">
      <c r="A11" s="13" t="s">
        <v>216</v>
      </c>
    </row>
    <row r="12" customFormat="false" ht="15" hidden="false" customHeight="false" outlineLevel="0" collapsed="false">
      <c r="A12" s="13" t="s">
        <v>217</v>
      </c>
    </row>
    <row r="13" customFormat="false" ht="15" hidden="false" customHeight="false" outlineLevel="0" collapsed="false">
      <c r="A13" s="13" t="s">
        <v>218</v>
      </c>
    </row>
    <row r="15" customFormat="false" ht="15" hidden="false" customHeight="false" outlineLevel="0" collapsed="false">
      <c r="A15" s="14" t="s">
        <v>219</v>
      </c>
      <c r="B15" s="14" t="s">
        <v>220</v>
      </c>
      <c r="C15" s="14" t="s">
        <v>221</v>
      </c>
      <c r="D15" s="14" t="s">
        <v>222</v>
      </c>
      <c r="E15" s="14" t="s">
        <v>223</v>
      </c>
      <c r="F15" s="14" t="s">
        <v>224</v>
      </c>
    </row>
    <row r="16" customFormat="false" ht="15" hidden="false" customHeight="false" outlineLevel="0" collapsed="false">
      <c r="A16" s="13" t="s">
        <v>225</v>
      </c>
      <c r="B16" s="13" t="s">
        <v>1</v>
      </c>
      <c r="C16" s="13" t="s">
        <v>226</v>
      </c>
      <c r="D16" s="13" t="s">
        <v>227</v>
      </c>
      <c r="E16" s="13" t="n">
        <v>0.95617</v>
      </c>
      <c r="F16" s="13" t="n">
        <v>7681</v>
      </c>
    </row>
    <row r="17" customFormat="false" ht="15" hidden="false" customHeight="false" outlineLevel="0" collapsed="false">
      <c r="A17" s="13" t="s">
        <v>228</v>
      </c>
      <c r="B17" s="13" t="s">
        <v>229</v>
      </c>
      <c r="C17" s="13" t="s">
        <v>226</v>
      </c>
      <c r="D17" s="13" t="s">
        <v>230</v>
      </c>
      <c r="E17" s="13" t="n">
        <v>0.99769</v>
      </c>
      <c r="F17" s="13" t="n">
        <v>9733</v>
      </c>
    </row>
    <row r="18" customFormat="false" ht="15" hidden="false" customHeight="false" outlineLevel="0" collapsed="false">
      <c r="A18" s="13" t="s">
        <v>231</v>
      </c>
      <c r="B18" s="13" t="s">
        <v>1</v>
      </c>
      <c r="C18" s="13" t="s">
        <v>226</v>
      </c>
      <c r="D18" s="13" t="s">
        <v>227</v>
      </c>
      <c r="E18" s="13" t="n">
        <v>0.99771</v>
      </c>
      <c r="F18" s="13" t="n">
        <v>8656</v>
      </c>
    </row>
    <row r="19" customFormat="false" ht="15" hidden="false" customHeight="false" outlineLevel="0" collapsed="false">
      <c r="A19" s="13" t="s">
        <v>232</v>
      </c>
      <c r="B19" s="13" t="s">
        <v>233</v>
      </c>
      <c r="C19" s="13" t="s">
        <v>234</v>
      </c>
      <c r="D19" s="13" t="s">
        <v>235</v>
      </c>
      <c r="E19" s="13" t="n">
        <v>1.00017</v>
      </c>
      <c r="F19" s="13" t="n">
        <v>14198</v>
      </c>
    </row>
    <row r="20" customFormat="false" ht="15" hidden="false" customHeight="false" outlineLevel="0" collapsed="false">
      <c r="A20" s="13" t="s">
        <v>236</v>
      </c>
      <c r="B20" s="13" t="s">
        <v>1</v>
      </c>
      <c r="C20" s="13" t="s">
        <v>226</v>
      </c>
      <c r="D20" s="13" t="s">
        <v>230</v>
      </c>
      <c r="E20" s="13" t="n">
        <v>0.93604</v>
      </c>
      <c r="F20" s="13" t="n">
        <v>8996</v>
      </c>
    </row>
    <row r="21" customFormat="false" ht="15" hidden="false" customHeight="false" outlineLevel="0" collapsed="false">
      <c r="A21" s="13" t="s">
        <v>237</v>
      </c>
      <c r="B21" s="13" t="s">
        <v>229</v>
      </c>
      <c r="C21" s="13" t="s">
        <v>226</v>
      </c>
      <c r="D21" s="13" t="s">
        <v>227</v>
      </c>
      <c r="E21" s="13" t="n">
        <v>1.00074</v>
      </c>
      <c r="F21" s="13" t="n">
        <v>7548</v>
      </c>
    </row>
    <row r="22" customFormat="false" ht="15" hidden="false" customHeight="false" outlineLevel="0" collapsed="false">
      <c r="A22" s="13" t="s">
        <v>238</v>
      </c>
      <c r="B22" s="13" t="s">
        <v>239</v>
      </c>
      <c r="C22" s="13" t="s">
        <v>240</v>
      </c>
      <c r="D22" s="13" t="s">
        <v>241</v>
      </c>
      <c r="E22" s="13" t="n">
        <v>0.69821</v>
      </c>
      <c r="F22" s="13" t="n">
        <v>11738</v>
      </c>
    </row>
    <row r="23" customFormat="false" ht="15" hidden="false" customHeight="false" outlineLevel="0" collapsed="false">
      <c r="A23" s="13" t="s">
        <v>242</v>
      </c>
      <c r="B23" s="13" t="s">
        <v>243</v>
      </c>
      <c r="C23" s="13" t="s">
        <v>226</v>
      </c>
      <c r="D23" s="13" t="s">
        <v>230</v>
      </c>
      <c r="E23" s="13" t="n">
        <v>0.99929</v>
      </c>
      <c r="F23" s="13" t="n">
        <v>9014</v>
      </c>
    </row>
    <row r="24" customFormat="false" ht="15" hidden="false" customHeight="false" outlineLevel="0" collapsed="false">
      <c r="A24" s="13" t="s">
        <v>244</v>
      </c>
      <c r="B24" s="13" t="s">
        <v>229</v>
      </c>
      <c r="C24" s="13" t="s">
        <v>226</v>
      </c>
      <c r="D24" s="13" t="s">
        <v>230</v>
      </c>
      <c r="E24" s="13" t="n">
        <v>0.99751</v>
      </c>
      <c r="F24" s="13" t="n">
        <v>9848</v>
      </c>
    </row>
    <row r="25" customFormat="false" ht="15" hidden="false" customHeight="false" outlineLevel="0" collapsed="false">
      <c r="A25" s="13" t="s">
        <v>245</v>
      </c>
      <c r="B25" s="13" t="s">
        <v>1</v>
      </c>
      <c r="C25" s="13" t="s">
        <v>226</v>
      </c>
      <c r="D25" s="13" t="s">
        <v>246</v>
      </c>
      <c r="E25" s="13" t="n">
        <v>1.00001</v>
      </c>
      <c r="F25" s="13" t="n">
        <v>5472</v>
      </c>
    </row>
    <row r="26" customFormat="false" ht="15" hidden="false" customHeight="false" outlineLevel="0" collapsed="false">
      <c r="A26" s="13" t="s">
        <v>247</v>
      </c>
      <c r="B26" s="13" t="s">
        <v>229</v>
      </c>
      <c r="C26" s="13" t="s">
        <v>226</v>
      </c>
      <c r="D26" s="13" t="s">
        <v>227</v>
      </c>
      <c r="E26" s="13" t="n">
        <v>0.99935</v>
      </c>
      <c r="F26" s="13" t="n">
        <v>9289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14" t="s">
        <v>219</v>
      </c>
      <c r="B1" s="14" t="s">
        <v>4</v>
      </c>
      <c r="C1" s="14" t="s">
        <v>5</v>
      </c>
      <c r="D1" s="14" t="s">
        <v>248</v>
      </c>
      <c r="E1" s="14" t="s">
        <v>249</v>
      </c>
      <c r="F1" s="14" t="s">
        <v>250</v>
      </c>
      <c r="G1" s="14" t="s">
        <v>251</v>
      </c>
      <c r="H1" s="14" t="s">
        <v>252</v>
      </c>
      <c r="I1" s="14" t="s">
        <v>253</v>
      </c>
    </row>
    <row r="2" customFormat="false" ht="15" hidden="false" customHeight="false" outlineLevel="0" collapsed="false">
      <c r="A2" s="13" t="s">
        <v>225</v>
      </c>
      <c r="B2" s="13" t="s">
        <v>17</v>
      </c>
      <c r="C2" s="13" t="s">
        <v>18</v>
      </c>
      <c r="D2" s="15" t="n">
        <v>0.95617</v>
      </c>
      <c r="E2" s="13" t="n">
        <v>0.95617</v>
      </c>
      <c r="F2" s="16" t="n">
        <f aca="false">IF(H2=1,"",D2/E2)</f>
        <v>1</v>
      </c>
      <c r="G2" s="17" t="n">
        <f aca="false">IF(H2=1,"",D2/E2*Notas!$B$3)</f>
        <v>95</v>
      </c>
      <c r="H2" s="13" t="n">
        <v>0</v>
      </c>
      <c r="I2" s="17" t="n">
        <f aca="false">IF(H2=1,D2,G2)</f>
        <v>95</v>
      </c>
    </row>
    <row r="3" customFormat="false" ht="15" hidden="false" customHeight="false" outlineLevel="0" collapsed="false">
      <c r="A3" s="13" t="s">
        <v>225</v>
      </c>
      <c r="B3" s="13" t="s">
        <v>17</v>
      </c>
      <c r="C3" s="13" t="s">
        <v>19</v>
      </c>
      <c r="D3" s="15" t="n">
        <v>0.9953</v>
      </c>
      <c r="E3" s="13" t="n">
        <v>0.95617</v>
      </c>
      <c r="F3" s="16" t="n">
        <f aca="false">IF(H3=1,"",D3/E3)</f>
        <v>1.04092368511876</v>
      </c>
      <c r="G3" s="17" t="n">
        <f aca="false">IF(H3=1,"",D3/E3*Notas!$B$3)</f>
        <v>98.8877500862817</v>
      </c>
      <c r="H3" s="13" t="n">
        <v>0</v>
      </c>
      <c r="I3" s="17" t="n">
        <f aca="false">IF(H3=1,D3,G3)</f>
        <v>98.8877500862817</v>
      </c>
    </row>
    <row r="4" customFormat="false" ht="15" hidden="false" customHeight="false" outlineLevel="0" collapsed="false">
      <c r="A4" s="13" t="s">
        <v>225</v>
      </c>
      <c r="B4" s="13" t="s">
        <v>17</v>
      </c>
      <c r="C4" s="13" t="s">
        <v>20</v>
      </c>
      <c r="D4" s="15" t="n">
        <v>0.36919</v>
      </c>
      <c r="E4" s="13" t="n">
        <v>0.95617</v>
      </c>
      <c r="F4" s="16" t="n">
        <f aca="false">IF(H4=1,"",D4/E4)</f>
        <v>0.386113348044804</v>
      </c>
      <c r="G4" s="17" t="n">
        <f aca="false">IF(H4=1,"",D4/E4*Notas!$B$3)</f>
        <v>36.6807680642564</v>
      </c>
      <c r="H4" s="13" t="n">
        <v>0</v>
      </c>
      <c r="I4" s="17" t="n">
        <f aca="false">IF(H4=1,D4,G4)</f>
        <v>36.6807680642564</v>
      </c>
    </row>
    <row r="5" customFormat="false" ht="15" hidden="false" customHeight="false" outlineLevel="0" collapsed="false">
      <c r="A5" s="13" t="s">
        <v>225</v>
      </c>
      <c r="B5" s="13" t="s">
        <v>17</v>
      </c>
      <c r="C5" s="13" t="s">
        <v>21</v>
      </c>
      <c r="D5" s="15" t="n">
        <v>7681</v>
      </c>
      <c r="E5" s="13" t="n">
        <v>0.95617</v>
      </c>
      <c r="F5" s="16" t="str">
        <f aca="false">IF(H5=1,"",D5/E5)</f>
        <v/>
      </c>
      <c r="G5" s="17" t="str">
        <f aca="false">IF(H5=1,"",D5/E5*Notas!$B$3)</f>
        <v/>
      </c>
      <c r="H5" s="13" t="n">
        <v>1</v>
      </c>
      <c r="I5" s="17" t="n">
        <f aca="false">IF(H5=1,D5,G5)</f>
        <v>7681</v>
      </c>
    </row>
    <row r="6" customFormat="false" ht="15" hidden="false" customHeight="false" outlineLevel="0" collapsed="false">
      <c r="A6" s="13" t="s">
        <v>225</v>
      </c>
      <c r="B6" s="13" t="s">
        <v>17</v>
      </c>
      <c r="C6" s="13" t="s">
        <v>22</v>
      </c>
      <c r="D6" s="15" t="n">
        <v>3841</v>
      </c>
      <c r="E6" s="13" t="n">
        <v>0.95617</v>
      </c>
      <c r="F6" s="16" t="str">
        <f aca="false">IF(H6=1,"",D6/E6)</f>
        <v/>
      </c>
      <c r="G6" s="17" t="str">
        <f aca="false">IF(H6=1,"",D6/E6*Notas!$B$3)</f>
        <v/>
      </c>
      <c r="H6" s="13" t="n">
        <v>1</v>
      </c>
      <c r="I6" s="17" t="n">
        <f aca="false">IF(H6=1,D6,G6)</f>
        <v>3841</v>
      </c>
    </row>
    <row r="7" customFormat="false" ht="15" hidden="false" customHeight="false" outlineLevel="0" collapsed="false">
      <c r="A7" s="13" t="s">
        <v>225</v>
      </c>
      <c r="B7" s="13" t="s">
        <v>17</v>
      </c>
      <c r="C7" s="13" t="s">
        <v>23</v>
      </c>
      <c r="D7" s="15" t="n">
        <v>1.52798</v>
      </c>
      <c r="E7" s="13" t="n">
        <v>0.95617</v>
      </c>
      <c r="F7" s="16" t="str">
        <f aca="false">IF(H7=1,"",D7/E7)</f>
        <v/>
      </c>
      <c r="G7" s="17" t="str">
        <f aca="false">IF(H7=1,"",D7/E7*Notas!$B$3)</f>
        <v/>
      </c>
      <c r="H7" s="13" t="n">
        <v>1</v>
      </c>
      <c r="I7" s="17" t="n">
        <f aca="false">IF(H7=1,D7,G7)</f>
        <v>1.52798</v>
      </c>
    </row>
    <row r="8" customFormat="false" ht="15" hidden="false" customHeight="false" outlineLevel="0" collapsed="false">
      <c r="A8" s="13" t="s">
        <v>225</v>
      </c>
      <c r="B8" s="13" t="s">
        <v>17</v>
      </c>
      <c r="C8" s="13" t="s">
        <v>24</v>
      </c>
      <c r="D8" s="15" t="n">
        <v>0.05452</v>
      </c>
      <c r="E8" s="13" t="n">
        <v>0.95617</v>
      </c>
      <c r="F8" s="16" t="str">
        <f aca="false">IF(H8=1,"",D8/E8)</f>
        <v/>
      </c>
      <c r="G8" s="17" t="str">
        <f aca="false">IF(H8=1,"",D8/E8*Notas!$B$3)</f>
        <v/>
      </c>
      <c r="H8" s="13" t="n">
        <v>1</v>
      </c>
      <c r="I8" s="17" t="n">
        <f aca="false">IF(H8=1,D8,G8)</f>
        <v>0.05452</v>
      </c>
    </row>
    <row r="9" customFormat="false" ht="15" hidden="false" customHeight="false" outlineLevel="0" collapsed="false">
      <c r="A9" s="13" t="s">
        <v>225</v>
      </c>
      <c r="B9" s="13" t="s">
        <v>25</v>
      </c>
      <c r="C9" s="13" t="s">
        <v>26</v>
      </c>
      <c r="D9" s="15" t="n">
        <v>50.94077</v>
      </c>
      <c r="E9" s="13" t="n">
        <v>0.95617</v>
      </c>
      <c r="F9" s="16" t="str">
        <f aca="false">IF(H9=1,"",D9/E9)</f>
        <v/>
      </c>
      <c r="G9" s="17" t="str">
        <f aca="false">IF(H9=1,"",D9/E9*Notas!$B$3)</f>
        <v/>
      </c>
      <c r="H9" s="13" t="n">
        <v>1</v>
      </c>
      <c r="I9" s="17" t="n">
        <f aca="false">IF(H9=1,D9,G9)</f>
        <v>50.94077</v>
      </c>
    </row>
    <row r="10" customFormat="false" ht="15" hidden="false" customHeight="false" outlineLevel="0" collapsed="false">
      <c r="A10" s="13" t="s">
        <v>225</v>
      </c>
      <c r="B10" s="13" t="s">
        <v>25</v>
      </c>
      <c r="C10" s="13" t="s">
        <v>27</v>
      </c>
      <c r="D10" s="15" t="n">
        <v>10.21058</v>
      </c>
      <c r="E10" s="13" t="n">
        <v>0.95617</v>
      </c>
      <c r="F10" s="16" t="str">
        <f aca="false">IF(H10=1,"",D10/E10)</f>
        <v/>
      </c>
      <c r="G10" s="17" t="str">
        <f aca="false">IF(H10=1,"",D10/E10*Notas!$B$3)</f>
        <v/>
      </c>
      <c r="H10" s="13" t="n">
        <v>1</v>
      </c>
      <c r="I10" s="17" t="n">
        <f aca="false">IF(H10=1,D10,G10)</f>
        <v>10.21058</v>
      </c>
    </row>
    <row r="11" customFormat="false" ht="15" hidden="false" customHeight="false" outlineLevel="0" collapsed="false">
      <c r="A11" s="13" t="s">
        <v>225</v>
      </c>
      <c r="B11" s="13" t="s">
        <v>25</v>
      </c>
      <c r="C11" s="13" t="s">
        <v>28</v>
      </c>
      <c r="D11" s="15" t="n">
        <v>29.81625</v>
      </c>
      <c r="E11" s="13" t="n">
        <v>0.95617</v>
      </c>
      <c r="F11" s="16" t="str">
        <f aca="false">IF(H11=1,"",D11/E11)</f>
        <v/>
      </c>
      <c r="G11" s="17" t="str">
        <f aca="false">IF(H11=1,"",D11/E11*Notas!$B$3)</f>
        <v/>
      </c>
      <c r="H11" s="13" t="n">
        <v>1</v>
      </c>
      <c r="I11" s="17" t="n">
        <f aca="false">IF(H11=1,D11,G11)</f>
        <v>29.81625</v>
      </c>
    </row>
    <row r="12" customFormat="false" ht="15" hidden="false" customHeight="false" outlineLevel="0" collapsed="false">
      <c r="A12" s="13" t="s">
        <v>225</v>
      </c>
      <c r="B12" s="13" t="s">
        <v>25</v>
      </c>
      <c r="C12" s="13" t="s">
        <v>29</v>
      </c>
      <c r="D12" s="15" t="n">
        <v>9.0324</v>
      </c>
      <c r="E12" s="13" t="n">
        <v>0.95617</v>
      </c>
      <c r="F12" s="16" t="str">
        <f aca="false">IF(H12=1,"",D12/E12)</f>
        <v/>
      </c>
      <c r="G12" s="17" t="str">
        <f aca="false">IF(H12=1,"",D12/E12*Notas!$B$3)</f>
        <v/>
      </c>
      <c r="H12" s="13" t="n">
        <v>1</v>
      </c>
      <c r="I12" s="17" t="n">
        <f aca="false">IF(H12=1,D12,G12)</f>
        <v>9.0324</v>
      </c>
    </row>
    <row r="13" customFormat="false" ht="15" hidden="false" customHeight="false" outlineLevel="0" collapsed="false">
      <c r="A13" s="13" t="s">
        <v>225</v>
      </c>
      <c r="B13" s="13" t="s">
        <v>30</v>
      </c>
      <c r="C13" s="13" t="s">
        <v>31</v>
      </c>
      <c r="D13" s="15" t="n">
        <v>0.53546</v>
      </c>
      <c r="E13" s="13" t="n">
        <v>0.95617</v>
      </c>
      <c r="F13" s="16" t="n">
        <f aca="false">IF(H13=1,"",D13/E13)</f>
        <v>0.560005020027819</v>
      </c>
      <c r="G13" s="17" t="n">
        <f aca="false">IF(H13=1,"",D13/E13*Notas!$B$3)</f>
        <v>53.2004769026428</v>
      </c>
      <c r="H13" s="13" t="n">
        <v>0</v>
      </c>
      <c r="I13" s="17" t="n">
        <f aca="false">IF(H13=1,D13,G13)</f>
        <v>53.2004769026428</v>
      </c>
    </row>
    <row r="14" customFormat="false" ht="15" hidden="false" customHeight="false" outlineLevel="0" collapsed="false">
      <c r="A14" s="13" t="s">
        <v>225</v>
      </c>
      <c r="B14" s="13" t="s">
        <v>30</v>
      </c>
      <c r="C14" s="13" t="s">
        <v>32</v>
      </c>
      <c r="D14" s="15" t="n">
        <v>0.42072</v>
      </c>
      <c r="E14" s="13" t="n">
        <v>0.95617</v>
      </c>
      <c r="F14" s="16" t="n">
        <f aca="false">IF(H14=1,"",D14/E14)</f>
        <v>0.440005438363471</v>
      </c>
      <c r="G14" s="17" t="n">
        <f aca="false">IF(H14=1,"",D14/E14*Notas!$B$3)</f>
        <v>41.8005166445297</v>
      </c>
      <c r="H14" s="13" t="n">
        <v>0</v>
      </c>
      <c r="I14" s="17" t="n">
        <f aca="false">IF(H14=1,D14,G14)</f>
        <v>41.8005166445297</v>
      </c>
    </row>
    <row r="15" customFormat="false" ht="15" hidden="false" customHeight="false" outlineLevel="0" collapsed="false">
      <c r="A15" s="13" t="s">
        <v>225</v>
      </c>
      <c r="B15" s="13" t="s">
        <v>30</v>
      </c>
      <c r="C15" s="13" t="s">
        <v>33</v>
      </c>
      <c r="D15" s="15" t="n">
        <v>0.49448</v>
      </c>
      <c r="E15" s="13" t="n">
        <v>0.95617</v>
      </c>
      <c r="F15" s="16" t="n">
        <f aca="false">IF(H15=1,"",D15/E15)</f>
        <v>0.517146532520368</v>
      </c>
      <c r="G15" s="17" t="n">
        <f aca="false">IF(H15=1,"",D15/E15*Notas!$B$3)</f>
        <v>49.1289205894349</v>
      </c>
      <c r="H15" s="13" t="n">
        <v>0</v>
      </c>
      <c r="I15" s="17" t="n">
        <f aca="false">IF(H15=1,D15,G15)</f>
        <v>49.1289205894349</v>
      </c>
    </row>
    <row r="16" customFormat="false" ht="15" hidden="false" customHeight="false" outlineLevel="0" collapsed="false">
      <c r="A16" s="13" t="s">
        <v>225</v>
      </c>
      <c r="B16" s="13" t="s">
        <v>30</v>
      </c>
      <c r="C16" s="13" t="s">
        <v>34</v>
      </c>
      <c r="D16" s="15" t="n">
        <v>0.36919</v>
      </c>
      <c r="E16" s="13" t="n">
        <v>0.95617</v>
      </c>
      <c r="F16" s="16" t="n">
        <f aca="false">IF(H16=1,"",D16/E16)</f>
        <v>0.386113348044804</v>
      </c>
      <c r="G16" s="17" t="n">
        <f aca="false">IF(H16=1,"",D16/E16*Notas!$B$3)</f>
        <v>36.6807680642564</v>
      </c>
      <c r="H16" s="13" t="n">
        <v>0</v>
      </c>
      <c r="I16" s="17" t="n">
        <f aca="false">IF(H16=1,D16,G16)</f>
        <v>36.6807680642564</v>
      </c>
    </row>
    <row r="17" customFormat="false" ht="15" hidden="false" customHeight="false" outlineLevel="0" collapsed="false">
      <c r="A17" s="13" t="s">
        <v>225</v>
      </c>
      <c r="B17" s="13" t="s">
        <v>35</v>
      </c>
      <c r="C17" s="13" t="s">
        <v>36</v>
      </c>
      <c r="D17" s="15" t="n">
        <v>2.27273</v>
      </c>
      <c r="E17" s="13" t="n">
        <v>0.95617</v>
      </c>
      <c r="F17" s="16" t="str">
        <f aca="false">IF(H17=1,"",D17/E17)</f>
        <v/>
      </c>
      <c r="G17" s="17" t="str">
        <f aca="false">IF(H17=1,"",D17/E17*Notas!$B$3)</f>
        <v/>
      </c>
      <c r="H17" s="13" t="n">
        <v>1</v>
      </c>
      <c r="I17" s="17" t="n">
        <f aca="false">IF(H17=1,D17,G17)</f>
        <v>2.27273</v>
      </c>
    </row>
    <row r="18" customFormat="false" ht="15" hidden="false" customHeight="false" outlineLevel="0" collapsed="false">
      <c r="A18" s="13" t="s">
        <v>225</v>
      </c>
      <c r="B18" s="13" t="s">
        <v>35</v>
      </c>
      <c r="C18" s="13" t="s">
        <v>37</v>
      </c>
      <c r="D18" s="15" t="n">
        <v>44</v>
      </c>
      <c r="E18" s="13" t="n">
        <v>0.95617</v>
      </c>
      <c r="F18" s="16" t="str">
        <f aca="false">IF(H18=1,"",D18/E18)</f>
        <v/>
      </c>
      <c r="G18" s="17" t="str">
        <f aca="false">IF(H18=1,"",D18/E18*Notas!$B$3)</f>
        <v/>
      </c>
      <c r="H18" s="13" t="n">
        <v>1</v>
      </c>
      <c r="I18" s="17" t="n">
        <f aca="false">IF(H18=1,D18,G18)</f>
        <v>44</v>
      </c>
    </row>
    <row r="19" customFormat="false" ht="15" hidden="false" customHeight="false" outlineLevel="0" collapsed="false">
      <c r="A19" s="13" t="s">
        <v>225</v>
      </c>
      <c r="B19" s="13" t="s">
        <v>38</v>
      </c>
      <c r="C19" s="13" t="s">
        <v>39</v>
      </c>
      <c r="D19" s="15" t="n">
        <v>0.67826</v>
      </c>
      <c r="E19" s="13" t="n">
        <v>0.95617</v>
      </c>
      <c r="F19" s="16" t="n">
        <f aca="false">IF(H19=1,"",D19/E19)</f>
        <v>0.709350847652614</v>
      </c>
      <c r="G19" s="17" t="n">
        <f aca="false">IF(H19=1,"",D19/E19*Notas!$B$3)</f>
        <v>67.3883305269983</v>
      </c>
      <c r="H19" s="13" t="n">
        <v>0</v>
      </c>
      <c r="I19" s="17" t="n">
        <f aca="false">IF(H19=1,D19,G19)</f>
        <v>67.3883305269983</v>
      </c>
    </row>
    <row r="20" customFormat="false" ht="15" hidden="false" customHeight="false" outlineLevel="0" collapsed="false">
      <c r="A20" s="13" t="s">
        <v>225</v>
      </c>
      <c r="B20" s="13" t="s">
        <v>38</v>
      </c>
      <c r="C20" s="13" t="s">
        <v>40</v>
      </c>
      <c r="D20" s="15" t="n">
        <v>0.12224</v>
      </c>
      <c r="E20" s="13" t="n">
        <v>0.95617</v>
      </c>
      <c r="F20" s="16" t="n">
        <f aca="false">IF(H20=1,"",D20/E20)</f>
        <v>0.127843375132037</v>
      </c>
      <c r="G20" s="17" t="n">
        <f aca="false">IF(H20=1,"",D20/E20*Notas!$B$3)</f>
        <v>12.1451206375435</v>
      </c>
      <c r="H20" s="13" t="n">
        <v>0</v>
      </c>
      <c r="I20" s="17" t="n">
        <f aca="false">IF(H20=1,D20,G20)</f>
        <v>12.1451206375435</v>
      </c>
    </row>
    <row r="21" customFormat="false" ht="15" hidden="false" customHeight="false" outlineLevel="0" collapsed="false">
      <c r="A21" s="13" t="s">
        <v>225</v>
      </c>
      <c r="B21" s="13" t="s">
        <v>38</v>
      </c>
      <c r="C21" s="13" t="s">
        <v>41</v>
      </c>
      <c r="D21" s="15" t="n">
        <v>0.12206</v>
      </c>
      <c r="E21" s="13" t="n">
        <v>0.95617</v>
      </c>
      <c r="F21" s="16" t="n">
        <f aca="false">IF(H21=1,"",D21/E21)</f>
        <v>0.127655124088813</v>
      </c>
      <c r="G21" s="17" t="n">
        <f aca="false">IF(H21=1,"",D21/E21*Notas!$B$3)</f>
        <v>12.1272367884372</v>
      </c>
      <c r="H21" s="13" t="n">
        <v>0</v>
      </c>
      <c r="I21" s="17" t="n">
        <f aca="false">IF(H21=1,D21,G21)</f>
        <v>12.1272367884372</v>
      </c>
    </row>
    <row r="22" customFormat="false" ht="15" hidden="false" customHeight="false" outlineLevel="0" collapsed="false">
      <c r="A22" s="13" t="s">
        <v>225</v>
      </c>
      <c r="B22" s="13" t="s">
        <v>38</v>
      </c>
      <c r="C22" s="13" t="s">
        <v>42</v>
      </c>
      <c r="D22" s="15" t="n">
        <v>-0.10865</v>
      </c>
      <c r="E22" s="13" t="n">
        <v>0.95617</v>
      </c>
      <c r="F22" s="16" t="n">
        <f aca="false">IF(H22=1,"",D22/E22)</f>
        <v>-0.113630421368585</v>
      </c>
      <c r="G22" s="17" t="n">
        <f aca="false">IF(H22=1,"",D22/E22*Notas!$B$3)</f>
        <v>-10.7948900300156</v>
      </c>
      <c r="H22" s="13" t="n">
        <v>0</v>
      </c>
      <c r="I22" s="17" t="n">
        <f aca="false">IF(H22=1,D22,G22)</f>
        <v>-10.7948900300156</v>
      </c>
    </row>
    <row r="23" customFormat="false" ht="15" hidden="false" customHeight="false" outlineLevel="0" collapsed="false">
      <c r="A23" s="13" t="s">
        <v>225</v>
      </c>
      <c r="B23" s="13" t="s">
        <v>38</v>
      </c>
      <c r="C23" s="13" t="s">
        <v>43</v>
      </c>
      <c r="D23" s="15" t="n">
        <v>0.63376</v>
      </c>
      <c r="E23" s="13" t="n">
        <v>0.95617</v>
      </c>
      <c r="F23" s="16" t="n">
        <f aca="false">IF(H23=1,"",D23/E23)</f>
        <v>0.662811006410994</v>
      </c>
      <c r="G23" s="17" t="n">
        <f aca="false">IF(H23=1,"",D23/E23*Notas!$B$3)</f>
        <v>62.9670456090444</v>
      </c>
      <c r="H23" s="13" t="n">
        <v>0</v>
      </c>
      <c r="I23" s="17" t="n">
        <f aca="false">IF(H23=1,D23,G23)</f>
        <v>62.9670456090444</v>
      </c>
    </row>
    <row r="24" customFormat="false" ht="15" hidden="false" customHeight="false" outlineLevel="0" collapsed="false">
      <c r="A24" s="13" t="s">
        <v>225</v>
      </c>
      <c r="B24" s="13" t="s">
        <v>38</v>
      </c>
      <c r="C24" s="13" t="s">
        <v>44</v>
      </c>
      <c r="D24" s="15" t="n">
        <v>0.115</v>
      </c>
      <c r="E24" s="13" t="n">
        <v>0.95617</v>
      </c>
      <c r="F24" s="16" t="n">
        <f aca="false">IF(H24=1,"",D24/E24)</f>
        <v>0.120271499837895</v>
      </c>
      <c r="G24" s="17" t="n">
        <f aca="false">IF(H24=1,"",D24/E24*Notas!$B$3)</f>
        <v>11.4257924846</v>
      </c>
      <c r="H24" s="13" t="n">
        <v>0</v>
      </c>
      <c r="I24" s="17" t="n">
        <f aca="false">IF(H24=1,D24,G24)</f>
        <v>11.4257924846</v>
      </c>
    </row>
    <row r="25" customFormat="false" ht="15" hidden="false" customHeight="false" outlineLevel="0" collapsed="false">
      <c r="A25" s="13" t="s">
        <v>225</v>
      </c>
      <c r="B25" s="13" t="s">
        <v>38</v>
      </c>
      <c r="C25" s="13" t="s">
        <v>45</v>
      </c>
      <c r="D25" s="15" t="n">
        <v>0.10924</v>
      </c>
      <c r="E25" s="13" t="n">
        <v>0.95617</v>
      </c>
      <c r="F25" s="16" t="n">
        <f aca="false">IF(H25=1,"",D25/E25)</f>
        <v>0.11424746645471</v>
      </c>
      <c r="G25" s="17" t="n">
        <f aca="false">IF(H25=1,"",D25/E25*Notas!$B$3)</f>
        <v>10.8535093131974</v>
      </c>
      <c r="H25" s="13" t="n">
        <v>0</v>
      </c>
      <c r="I25" s="17" t="n">
        <f aca="false">IF(H25=1,D25,G25)</f>
        <v>10.8535093131974</v>
      </c>
    </row>
    <row r="26" customFormat="false" ht="15" hidden="false" customHeight="false" outlineLevel="0" collapsed="false">
      <c r="A26" s="13" t="s">
        <v>225</v>
      </c>
      <c r="B26" s="13" t="s">
        <v>38</v>
      </c>
      <c r="C26" s="13" t="s">
        <v>46</v>
      </c>
      <c r="D26" s="15" t="n">
        <v>0.06351</v>
      </c>
      <c r="E26" s="13" t="n">
        <v>0.95617</v>
      </c>
      <c r="F26" s="16" t="n">
        <f aca="false">IF(H26=1,"",D26/E26)</f>
        <v>0.0664212430843888</v>
      </c>
      <c r="G26" s="17" t="n">
        <f aca="false">IF(H26=1,"",D26/E26*Notas!$B$3)</f>
        <v>6.31001809301693</v>
      </c>
      <c r="H26" s="13" t="n">
        <v>0</v>
      </c>
      <c r="I26" s="17" t="n">
        <f aca="false">IF(H26=1,D26,G26)</f>
        <v>6.31001809301693</v>
      </c>
    </row>
    <row r="27" customFormat="false" ht="15" hidden="false" customHeight="false" outlineLevel="0" collapsed="false">
      <c r="A27" s="13" t="s">
        <v>225</v>
      </c>
      <c r="B27" s="13" t="s">
        <v>38</v>
      </c>
      <c r="C27" s="13" t="s">
        <v>47</v>
      </c>
      <c r="D27" s="15" t="n">
        <v>0.16015</v>
      </c>
      <c r="E27" s="13" t="n">
        <v>0.95617</v>
      </c>
      <c r="F27" s="16" t="n">
        <f aca="false">IF(H27=1,"",D27/E27)</f>
        <v>0.167491136513382</v>
      </c>
      <c r="G27" s="17" t="n">
        <f aca="false">IF(H27=1,"",D27/E27*Notas!$B$3)</f>
        <v>15.9116579687712</v>
      </c>
      <c r="H27" s="13" t="n">
        <v>0</v>
      </c>
      <c r="I27" s="17" t="n">
        <f aca="false">IF(H27=1,D27,G27)</f>
        <v>15.9116579687712</v>
      </c>
    </row>
    <row r="28" customFormat="false" ht="15" hidden="false" customHeight="false" outlineLevel="0" collapsed="false">
      <c r="A28" s="13" t="s">
        <v>225</v>
      </c>
      <c r="B28" s="13" t="s">
        <v>38</v>
      </c>
      <c r="C28" s="13" t="s">
        <v>48</v>
      </c>
      <c r="D28" s="15" t="n">
        <v>0.29079</v>
      </c>
      <c r="E28" s="13" t="n">
        <v>0.95617</v>
      </c>
      <c r="F28" s="16" t="n">
        <f aca="false">IF(H28=1,"",D28/E28)</f>
        <v>0.30411956032923</v>
      </c>
      <c r="G28" s="17" t="n">
        <f aca="false">IF(H28=1,"",D28/E28*Notas!$B$3)</f>
        <v>28.8913582312769</v>
      </c>
      <c r="H28" s="13" t="n">
        <v>0</v>
      </c>
      <c r="I28" s="17" t="n">
        <f aca="false">IF(H28=1,D28,G28)</f>
        <v>28.8913582312769</v>
      </c>
    </row>
    <row r="29" customFormat="false" ht="15" hidden="false" customHeight="false" outlineLevel="0" collapsed="false">
      <c r="A29" s="13" t="s">
        <v>225</v>
      </c>
      <c r="B29" s="13" t="s">
        <v>30</v>
      </c>
      <c r="C29" s="13" t="s">
        <v>49</v>
      </c>
      <c r="D29" s="15" t="n">
        <v>0.45476</v>
      </c>
      <c r="E29" s="13" t="n">
        <v>0.95617</v>
      </c>
      <c r="F29" s="16" t="n">
        <f aca="false">IF(H29=1,"",D29/E29)</f>
        <v>0.475605802315488</v>
      </c>
      <c r="G29" s="17" t="n">
        <f aca="false">IF(H29=1,"",D29/E29*Notas!$B$3)</f>
        <v>45.1825512199713</v>
      </c>
      <c r="H29" s="13" t="n">
        <v>0</v>
      </c>
      <c r="I29" s="17" t="n">
        <f aca="false">IF(H29=1,D29,G29)</f>
        <v>45.1825512199713</v>
      </c>
    </row>
    <row r="30" customFormat="false" ht="15" hidden="false" customHeight="false" outlineLevel="0" collapsed="false">
      <c r="A30" s="13" t="s">
        <v>225</v>
      </c>
      <c r="B30" s="13" t="s">
        <v>30</v>
      </c>
      <c r="C30" s="13" t="s">
        <v>50</v>
      </c>
      <c r="D30" s="15" t="n">
        <v>0.32777</v>
      </c>
      <c r="E30" s="13" t="n">
        <v>0.95617</v>
      </c>
      <c r="F30" s="16" t="n">
        <f aca="false">IF(H30=1,"",D30/E30)</f>
        <v>0.342794691320581</v>
      </c>
      <c r="G30" s="17" t="n">
        <f aca="false">IF(H30=1,"",D30/E30*Notas!$B$3)</f>
        <v>32.5654956754552</v>
      </c>
      <c r="H30" s="13" t="n">
        <v>0</v>
      </c>
      <c r="I30" s="17" t="n">
        <f aca="false">IF(H30=1,D30,G30)</f>
        <v>32.5654956754552</v>
      </c>
    </row>
    <row r="31" customFormat="false" ht="15" hidden="false" customHeight="false" outlineLevel="0" collapsed="false">
      <c r="A31" s="13" t="s">
        <v>225</v>
      </c>
      <c r="B31" s="13" t="s">
        <v>30</v>
      </c>
      <c r="C31" s="13" t="s">
        <v>51</v>
      </c>
      <c r="D31" s="15" t="n">
        <v>1.6103</v>
      </c>
      <c r="E31" s="13" t="n">
        <v>0.95617</v>
      </c>
      <c r="F31" s="16" t="n">
        <f aca="false">IF(H31=1,"",D31/E31)</f>
        <v>1.68411474946924</v>
      </c>
      <c r="G31" s="17" t="n">
        <f aca="false">IF(H31=1,"",D31/E31*Notas!$B$3)</f>
        <v>159.990901199578</v>
      </c>
      <c r="H31" s="13" t="n">
        <v>0</v>
      </c>
      <c r="I31" s="17" t="n">
        <f aca="false">IF(H31=1,D31,G31)</f>
        <v>159.990901199578</v>
      </c>
    </row>
    <row r="32" customFormat="false" ht="15" hidden="false" customHeight="false" outlineLevel="0" collapsed="false">
      <c r="A32" s="13" t="s">
        <v>225</v>
      </c>
      <c r="B32" s="13" t="s">
        <v>30</v>
      </c>
      <c r="C32" s="13" t="s">
        <v>52</v>
      </c>
      <c r="D32" s="15" t="n">
        <v>0.4633</v>
      </c>
      <c r="E32" s="13" t="n">
        <v>0.95617</v>
      </c>
      <c r="F32" s="16" t="n">
        <f aca="false">IF(H32=1,"",D32/E32)</f>
        <v>0.484537268477363</v>
      </c>
      <c r="G32" s="17" t="n">
        <f aca="false">IF(H32=1,"",D32/E32*Notas!$B$3)</f>
        <v>46.0310405053495</v>
      </c>
      <c r="H32" s="13" t="n">
        <v>0</v>
      </c>
      <c r="I32" s="17" t="n">
        <f aca="false">IF(H32=1,D32,G32)</f>
        <v>46.0310405053495</v>
      </c>
    </row>
    <row r="33" customFormat="false" ht="15" hidden="false" customHeight="false" outlineLevel="0" collapsed="false">
      <c r="A33" s="13" t="s">
        <v>225</v>
      </c>
      <c r="B33" s="13" t="s">
        <v>30</v>
      </c>
      <c r="C33" s="13" t="s">
        <v>53</v>
      </c>
      <c r="D33" s="15" t="n">
        <v>0.36247</v>
      </c>
      <c r="E33" s="13" t="n">
        <v>0.95617</v>
      </c>
      <c r="F33" s="16" t="n">
        <f aca="false">IF(H33=1,"",D33/E33)</f>
        <v>0.379085309097755</v>
      </c>
      <c r="G33" s="17" t="n">
        <f aca="false">IF(H33=1,"",D33/E33*Notas!$B$3)</f>
        <v>36.0131043642867</v>
      </c>
      <c r="H33" s="13" t="n">
        <v>0</v>
      </c>
      <c r="I33" s="17" t="n">
        <f aca="false">IF(H33=1,D33,G33)</f>
        <v>36.0131043642867</v>
      </c>
    </row>
    <row r="34" customFormat="false" ht="15" hidden="false" customHeight="false" outlineLevel="0" collapsed="false">
      <c r="A34" s="13" t="s">
        <v>225</v>
      </c>
      <c r="B34" s="13" t="s">
        <v>30</v>
      </c>
      <c r="C34" s="13" t="s">
        <v>54</v>
      </c>
      <c r="D34" s="15" t="n">
        <v>1.69325</v>
      </c>
      <c r="E34" s="13" t="n">
        <v>0.95617</v>
      </c>
      <c r="F34" s="16" t="n">
        <f aca="false">IF(H34=1,"",D34/E34)</f>
        <v>1.77086710522187</v>
      </c>
      <c r="G34" s="17" t="n">
        <f aca="false">IF(H34=1,"",D34/E34*Notas!$B$3)</f>
        <v>168.232374996078</v>
      </c>
      <c r="H34" s="13" t="n">
        <v>0</v>
      </c>
      <c r="I34" s="17" t="n">
        <f aca="false">IF(H34=1,D34,G34)</f>
        <v>168.232374996078</v>
      </c>
    </row>
    <row r="35" customFormat="false" ht="15" hidden="false" customHeight="false" outlineLevel="0" collapsed="false">
      <c r="A35" s="13" t="s">
        <v>225</v>
      </c>
      <c r="B35" s="13" t="s">
        <v>30</v>
      </c>
      <c r="C35" s="13" t="s">
        <v>55</v>
      </c>
      <c r="D35" s="15" t="n">
        <v>0.39839</v>
      </c>
      <c r="E35" s="13" t="n">
        <v>0.95617</v>
      </c>
      <c r="F35" s="16" t="n">
        <f aca="false">IF(H35=1,"",D35/E35)</f>
        <v>0.416651850612339</v>
      </c>
      <c r="G35" s="17" t="n">
        <f aca="false">IF(H35=1,"",D35/E35*Notas!$B$3)</f>
        <v>39.5819258081722</v>
      </c>
      <c r="H35" s="13" t="n">
        <v>0</v>
      </c>
      <c r="I35" s="17" t="n">
        <f aca="false">IF(H35=1,D35,G35)</f>
        <v>39.5819258081722</v>
      </c>
    </row>
    <row r="36" customFormat="false" ht="15" hidden="false" customHeight="false" outlineLevel="0" collapsed="false">
      <c r="A36" s="13" t="s">
        <v>225</v>
      </c>
      <c r="B36" s="13" t="s">
        <v>30</v>
      </c>
      <c r="C36" s="13" t="s">
        <v>56</v>
      </c>
      <c r="D36" s="15" t="n">
        <v>0.28935</v>
      </c>
      <c r="E36" s="13" t="n">
        <v>0.95617</v>
      </c>
      <c r="F36" s="16" t="n">
        <f aca="false">IF(H36=1,"",D36/E36)</f>
        <v>0.302613551983434</v>
      </c>
      <c r="G36" s="17" t="n">
        <f aca="false">IF(H36=1,"",D36/E36*Notas!$B$3)</f>
        <v>28.7482874384262</v>
      </c>
      <c r="H36" s="13" t="n">
        <v>0</v>
      </c>
      <c r="I36" s="17" t="n">
        <f aca="false">IF(H36=1,D36,G36)</f>
        <v>28.7482874384262</v>
      </c>
    </row>
    <row r="37" customFormat="false" ht="15" hidden="false" customHeight="false" outlineLevel="0" collapsed="false">
      <c r="A37" s="13" t="s">
        <v>225</v>
      </c>
      <c r="B37" s="13" t="s">
        <v>30</v>
      </c>
      <c r="C37" s="13" t="s">
        <v>57</v>
      </c>
      <c r="D37" s="15" t="n">
        <v>1.46397</v>
      </c>
      <c r="E37" s="13" t="n">
        <v>0.95617</v>
      </c>
      <c r="F37" s="16" t="n">
        <f aca="false">IF(H37=1,"",D37/E37)</f>
        <v>1.53107710971898</v>
      </c>
      <c r="G37" s="17" t="n">
        <f aca="false">IF(H37=1,"",D37/E37*Notas!$B$3)</f>
        <v>145.452325423303</v>
      </c>
      <c r="H37" s="13" t="n">
        <v>0</v>
      </c>
      <c r="I37" s="17" t="n">
        <f aca="false">IF(H37=1,D37,G37)</f>
        <v>145.452325423303</v>
      </c>
    </row>
    <row r="38" customFormat="false" ht="15" hidden="false" customHeight="false" outlineLevel="0" collapsed="false">
      <c r="A38" s="13" t="s">
        <v>225</v>
      </c>
      <c r="B38" s="13" t="s">
        <v>58</v>
      </c>
      <c r="C38" s="13" t="s">
        <v>59</v>
      </c>
      <c r="D38" s="15" t="n">
        <v>0.68223</v>
      </c>
      <c r="E38" s="13" t="n">
        <v>0.95617</v>
      </c>
      <c r="F38" s="16" t="n">
        <f aca="false">IF(H38=1,"",D38/E38)</f>
        <v>0.713502828994844</v>
      </c>
      <c r="G38" s="17" t="n">
        <f aca="false">IF(H38=1,"",D38/E38*Notas!$B$3)</f>
        <v>67.7827687545102</v>
      </c>
      <c r="H38" s="13" t="n">
        <v>0</v>
      </c>
      <c r="I38" s="17" t="n">
        <f aca="false">IF(H38=1,D38,G38)</f>
        <v>67.7827687545102</v>
      </c>
    </row>
    <row r="39" customFormat="false" ht="15" hidden="false" customHeight="false" outlineLevel="0" collapsed="false">
      <c r="A39" s="13" t="s">
        <v>225</v>
      </c>
      <c r="B39" s="13" t="s">
        <v>58</v>
      </c>
      <c r="C39" s="13" t="s">
        <v>60</v>
      </c>
      <c r="D39" s="15" t="n">
        <v>0.24994</v>
      </c>
      <c r="E39" s="13" t="n">
        <v>0.95617</v>
      </c>
      <c r="F39" s="16" t="n">
        <f aca="false">IF(H39=1,"",D39/E39)</f>
        <v>0.261397031908552</v>
      </c>
      <c r="G39" s="17" t="n">
        <f aca="false">IF(H39=1,"",D39/E39*Notas!$B$3)</f>
        <v>24.8327180313124</v>
      </c>
      <c r="H39" s="13" t="n">
        <v>0</v>
      </c>
      <c r="I39" s="17" t="n">
        <f aca="false">IF(H39=1,D39,G39)</f>
        <v>24.8327180313124</v>
      </c>
    </row>
    <row r="40" customFormat="false" ht="15" hidden="false" customHeight="false" outlineLevel="0" collapsed="false">
      <c r="A40" s="13" t="s">
        <v>225</v>
      </c>
      <c r="B40" s="13" t="s">
        <v>58</v>
      </c>
      <c r="C40" s="13" t="s">
        <v>61</v>
      </c>
      <c r="D40" s="15" t="n">
        <v>0.68897</v>
      </c>
      <c r="E40" s="13" t="n">
        <v>0.95617</v>
      </c>
      <c r="F40" s="16" t="n">
        <f aca="false">IF(H40=1,"",D40/E40)</f>
        <v>0.720551784724474</v>
      </c>
      <c r="G40" s="17" t="n">
        <f aca="false">IF(H40=1,"",D40/E40*Notas!$B$3)</f>
        <v>68.452419548825</v>
      </c>
      <c r="H40" s="13" t="n">
        <v>0</v>
      </c>
      <c r="I40" s="17" t="n">
        <f aca="false">IF(H40=1,D40,G40)</f>
        <v>68.452419548825</v>
      </c>
    </row>
    <row r="41" customFormat="false" ht="15" hidden="false" customHeight="false" outlineLevel="0" collapsed="false">
      <c r="A41" s="13" t="s">
        <v>225</v>
      </c>
      <c r="B41" s="13" t="s">
        <v>58</v>
      </c>
      <c r="C41" s="13" t="s">
        <v>62</v>
      </c>
      <c r="D41" s="15" t="n">
        <v>0.24454</v>
      </c>
      <c r="E41" s="13" t="n">
        <v>0.95617</v>
      </c>
      <c r="F41" s="16" t="n">
        <f aca="false">IF(H41=1,"",D41/E41)</f>
        <v>0.255749500611816</v>
      </c>
      <c r="G41" s="17" t="n">
        <f aca="false">IF(H41=1,"",D41/E41*Notas!$B$3)</f>
        <v>24.2962025581225</v>
      </c>
      <c r="H41" s="13" t="n">
        <v>0</v>
      </c>
      <c r="I41" s="17" t="n">
        <f aca="false">IF(H41=1,D41,G41)</f>
        <v>24.2962025581225</v>
      </c>
    </row>
    <row r="42" customFormat="false" ht="15" hidden="false" customHeight="false" outlineLevel="0" collapsed="false">
      <c r="A42" s="13" t="s">
        <v>225</v>
      </c>
      <c r="B42" s="13" t="s">
        <v>63</v>
      </c>
      <c r="C42" s="13" t="s">
        <v>64</v>
      </c>
      <c r="D42" s="15" t="n">
        <v>0.53491</v>
      </c>
      <c r="E42" s="13" t="n">
        <v>0.95617</v>
      </c>
      <c r="F42" s="16" t="n">
        <f aca="false">IF(H42=1,"",D42/E42)</f>
        <v>0.559429808506856</v>
      </c>
      <c r="G42" s="17" t="n">
        <f aca="false">IF(H42=1,"",D42/E42*Notas!$B$3)</f>
        <v>53.1458318081513</v>
      </c>
      <c r="H42" s="13" t="n">
        <v>0</v>
      </c>
      <c r="I42" s="17" t="n">
        <f aca="false">IF(H42=1,D42,G42)</f>
        <v>53.1458318081513</v>
      </c>
    </row>
    <row r="43" customFormat="false" ht="15" hidden="false" customHeight="false" outlineLevel="0" collapsed="false">
      <c r="A43" s="13" t="s">
        <v>225</v>
      </c>
      <c r="B43" s="13" t="s">
        <v>63</v>
      </c>
      <c r="C43" s="13" t="s">
        <v>65</v>
      </c>
      <c r="D43" s="15" t="n">
        <v>0.27729</v>
      </c>
      <c r="E43" s="13" t="n">
        <v>0.95617</v>
      </c>
      <c r="F43" s="16" t="n">
        <f aca="false">IF(H43=1,"",D43/E43)</f>
        <v>0.29000073208739</v>
      </c>
      <c r="G43" s="17" t="n">
        <f aca="false">IF(H43=1,"",D43/E43*Notas!$B$3)</f>
        <v>27.5500695483021</v>
      </c>
      <c r="H43" s="13" t="n">
        <v>0</v>
      </c>
      <c r="I43" s="17" t="n">
        <f aca="false">IF(H43=1,D43,G43)</f>
        <v>27.5500695483021</v>
      </c>
    </row>
    <row r="44" customFormat="false" ht="15" hidden="false" customHeight="false" outlineLevel="0" collapsed="false">
      <c r="A44" s="13" t="s">
        <v>225</v>
      </c>
      <c r="B44" s="13" t="s">
        <v>63</v>
      </c>
      <c r="C44" s="13" t="s">
        <v>66</v>
      </c>
      <c r="D44" s="15" t="n">
        <v>0.25762</v>
      </c>
      <c r="E44" s="13" t="n">
        <v>0.95617</v>
      </c>
      <c r="F44" s="16" t="n">
        <f aca="false">IF(H44=1,"",D44/E44)</f>
        <v>0.269429076419465</v>
      </c>
      <c r="G44" s="17" t="n">
        <f aca="false">IF(H44=1,"",D44/E44*Notas!$B$3)</f>
        <v>25.5957622598492</v>
      </c>
      <c r="H44" s="13" t="n">
        <v>0</v>
      </c>
      <c r="I44" s="17" t="n">
        <f aca="false">IF(H44=1,D44,G44)</f>
        <v>25.5957622598492</v>
      </c>
    </row>
    <row r="45" customFormat="false" ht="15" hidden="false" customHeight="false" outlineLevel="0" collapsed="false">
      <c r="A45" s="13" t="s">
        <v>225</v>
      </c>
      <c r="B45" s="13" t="s">
        <v>63</v>
      </c>
      <c r="C45" s="13" t="s">
        <v>67</v>
      </c>
      <c r="D45" s="15" t="n">
        <v>0.28633</v>
      </c>
      <c r="E45" s="13" t="n">
        <v>0.95617</v>
      </c>
      <c r="F45" s="16" t="n">
        <f aca="false">IF(H45=1,"",D45/E45)</f>
        <v>0.299455117813778</v>
      </c>
      <c r="G45" s="17" t="n">
        <f aca="false">IF(H45=1,"",D45/E45*Notas!$B$3)</f>
        <v>28.4482361923089</v>
      </c>
      <c r="H45" s="13" t="n">
        <v>0</v>
      </c>
      <c r="I45" s="17" t="n">
        <f aca="false">IF(H45=1,D45,G45)</f>
        <v>28.4482361923089</v>
      </c>
    </row>
    <row r="46" customFormat="false" ht="15" hidden="false" customHeight="false" outlineLevel="0" collapsed="false">
      <c r="A46" s="13" t="s">
        <v>225</v>
      </c>
      <c r="B46" s="13" t="s">
        <v>63</v>
      </c>
      <c r="C46" s="13" t="s">
        <v>68</v>
      </c>
      <c r="D46" s="15" t="n">
        <v>0.247</v>
      </c>
      <c r="E46" s="13" t="n">
        <v>0.95617</v>
      </c>
      <c r="F46" s="16" t="n">
        <f aca="false">IF(H46=1,"",D46/E46)</f>
        <v>0.258322264869218</v>
      </c>
      <c r="G46" s="17" t="n">
        <f aca="false">IF(H46=1,"",D46/E46*Notas!$B$3)</f>
        <v>24.5406151625757</v>
      </c>
      <c r="H46" s="13" t="n">
        <v>0</v>
      </c>
      <c r="I46" s="17" t="n">
        <f aca="false">IF(H46=1,D46,G46)</f>
        <v>24.5406151625757</v>
      </c>
    </row>
    <row r="47" customFormat="false" ht="15" hidden="false" customHeight="false" outlineLevel="0" collapsed="false">
      <c r="A47" s="13" t="s">
        <v>225</v>
      </c>
      <c r="B47" s="13" t="s">
        <v>69</v>
      </c>
      <c r="C47" s="13" t="s">
        <v>70</v>
      </c>
      <c r="D47" s="15" t="n">
        <v>0.33409</v>
      </c>
      <c r="E47" s="13" t="n">
        <v>0.95617</v>
      </c>
      <c r="F47" s="16" t="n">
        <f aca="false">IF(H47=1,"",D47/E47)</f>
        <v>0.34940439461602</v>
      </c>
      <c r="G47" s="17" t="n">
        <f aca="false">IF(H47=1,"",D47/E47*Notas!$B$3)</f>
        <v>33.1934174885219</v>
      </c>
      <c r="H47" s="13" t="n">
        <v>0</v>
      </c>
      <c r="I47" s="17" t="n">
        <f aca="false">IF(H47=1,D47,G47)</f>
        <v>33.1934174885219</v>
      </c>
    </row>
    <row r="48" customFormat="false" ht="15" hidden="false" customHeight="false" outlineLevel="0" collapsed="false">
      <c r="A48" s="13" t="s">
        <v>225</v>
      </c>
      <c r="B48" s="13" t="s">
        <v>69</v>
      </c>
      <c r="C48" s="13" t="s">
        <v>71</v>
      </c>
      <c r="D48" s="15" t="n">
        <v>0.07264</v>
      </c>
      <c r="E48" s="13" t="n">
        <v>0.95617</v>
      </c>
      <c r="F48" s="16" t="n">
        <f aca="false">IF(H48=1,"",D48/E48)</f>
        <v>0.0759697543323886</v>
      </c>
      <c r="G48" s="17" t="n">
        <f aca="false">IF(H48=1,"",D48/E48*Notas!$B$3)</f>
        <v>7.21712666157692</v>
      </c>
      <c r="H48" s="13" t="n">
        <v>0</v>
      </c>
      <c r="I48" s="17" t="n">
        <f aca="false">IF(H48=1,D48,G48)</f>
        <v>7.21712666157692</v>
      </c>
    </row>
    <row r="49" customFormat="false" ht="15" hidden="false" customHeight="false" outlineLevel="0" collapsed="false">
      <c r="A49" s="13" t="s">
        <v>225</v>
      </c>
      <c r="B49" s="13" t="s">
        <v>69</v>
      </c>
      <c r="C49" s="13" t="s">
        <v>72</v>
      </c>
      <c r="D49" s="15" t="n">
        <v>0.26144</v>
      </c>
      <c r="E49" s="13" t="n">
        <v>0.95617</v>
      </c>
      <c r="F49" s="16" t="n">
        <f aca="false">IF(H49=1,"",D49/E49)</f>
        <v>0.273424181892341</v>
      </c>
      <c r="G49" s="17" t="n">
        <f aca="false">IF(H49=1,"",D49/E49*Notas!$B$3)</f>
        <v>25.9752972797724</v>
      </c>
      <c r="H49" s="13" t="n">
        <v>0</v>
      </c>
      <c r="I49" s="17" t="n">
        <f aca="false">IF(H49=1,D49,G49)</f>
        <v>25.9752972797724</v>
      </c>
    </row>
    <row r="50" customFormat="false" ht="15" hidden="false" customHeight="false" outlineLevel="0" collapsed="false">
      <c r="A50" s="13" t="s">
        <v>225</v>
      </c>
      <c r="B50" s="13" t="s">
        <v>69</v>
      </c>
      <c r="C50" s="13" t="s">
        <v>73</v>
      </c>
      <c r="D50" s="15" t="n">
        <v>0.35841</v>
      </c>
      <c r="E50" s="13" t="n">
        <v>0.95617</v>
      </c>
      <c r="F50" s="16" t="n">
        <f aca="false">IF(H50=1,"",D50/E50)</f>
        <v>0.374839202233912</v>
      </c>
      <c r="G50" s="17" t="n">
        <f aca="false">IF(H50=1,"",D50/E50*Notas!$B$3)</f>
        <v>35.6097242122217</v>
      </c>
      <c r="H50" s="13" t="n">
        <v>0</v>
      </c>
      <c r="I50" s="17" t="n">
        <f aca="false">IF(H50=1,D50,G50)</f>
        <v>35.6097242122217</v>
      </c>
    </row>
    <row r="51" customFormat="false" ht="15" hidden="false" customHeight="false" outlineLevel="0" collapsed="false">
      <c r="A51" s="13" t="s">
        <v>225</v>
      </c>
      <c r="B51" s="13" t="s">
        <v>69</v>
      </c>
      <c r="C51" s="13" t="s">
        <v>74</v>
      </c>
      <c r="D51" s="15" t="n">
        <v>0.17731</v>
      </c>
      <c r="E51" s="13" t="n">
        <v>0.95617</v>
      </c>
      <c r="F51" s="16" t="n">
        <f aca="false">IF(H51=1,"",D51/E51)</f>
        <v>0.185437735967454</v>
      </c>
      <c r="G51" s="17" t="n">
        <f aca="false">IF(H51=1,"",D51/E51*Notas!$B$3)</f>
        <v>17.6165849169081</v>
      </c>
      <c r="H51" s="13" t="n">
        <v>0</v>
      </c>
      <c r="I51" s="17" t="n">
        <f aca="false">IF(H51=1,D51,G51)</f>
        <v>17.6165849169081</v>
      </c>
    </row>
    <row r="52" customFormat="false" ht="15" hidden="false" customHeight="false" outlineLevel="0" collapsed="false">
      <c r="A52" s="13" t="s">
        <v>225</v>
      </c>
      <c r="B52" s="13" t="s">
        <v>75</v>
      </c>
      <c r="C52" s="13" t="s">
        <v>76</v>
      </c>
      <c r="D52" s="15" t="n">
        <v>0.22226</v>
      </c>
      <c r="E52" s="13" t="n">
        <v>0.95617</v>
      </c>
      <c r="F52" s="16" t="n">
        <f aca="false">IF(H52=1,"",D52/E52)</f>
        <v>0.232448204817135</v>
      </c>
      <c r="G52" s="17" t="n">
        <f aca="false">IF(H52=1,"",D52/E52*Notas!$B$3)</f>
        <v>22.0825794576278</v>
      </c>
      <c r="H52" s="13" t="n">
        <v>0</v>
      </c>
      <c r="I52" s="17" t="n">
        <f aca="false">IF(H52=1,D52,G52)</f>
        <v>22.0825794576278</v>
      </c>
    </row>
    <row r="53" customFormat="false" ht="15" hidden="false" customHeight="false" outlineLevel="0" collapsed="false">
      <c r="A53" s="13" t="s">
        <v>225</v>
      </c>
      <c r="B53" s="13" t="s">
        <v>75</v>
      </c>
      <c r="C53" s="13" t="s">
        <v>77</v>
      </c>
      <c r="D53" s="15" t="n">
        <v>0.22226</v>
      </c>
      <c r="E53" s="13" t="n">
        <v>0.95617</v>
      </c>
      <c r="F53" s="16" t="n">
        <f aca="false">IF(H53=1,"",D53/E53)</f>
        <v>0.232448204817135</v>
      </c>
      <c r="G53" s="17" t="n">
        <f aca="false">IF(H53=1,"",D53/E53*Notas!$B$3)</f>
        <v>22.0825794576278</v>
      </c>
      <c r="H53" s="13" t="n">
        <v>0</v>
      </c>
      <c r="I53" s="17" t="n">
        <f aca="false">IF(H53=1,D53,G53)</f>
        <v>22.0825794576278</v>
      </c>
    </row>
    <row r="54" customFormat="false" ht="15" hidden="false" customHeight="false" outlineLevel="0" collapsed="false">
      <c r="A54" s="13" t="s">
        <v>225</v>
      </c>
      <c r="B54" s="13" t="s">
        <v>75</v>
      </c>
      <c r="C54" s="13" t="s">
        <v>78</v>
      </c>
      <c r="D54" s="15" t="n">
        <v>0.3132</v>
      </c>
      <c r="E54" s="13" t="n">
        <v>0.95617</v>
      </c>
      <c r="F54" s="16" t="n">
        <f aca="false">IF(H54=1,"",D54/E54)</f>
        <v>0.327556815210684</v>
      </c>
      <c r="G54" s="17" t="n">
        <f aca="false">IF(H54=1,"",D54/E54*Notas!$B$3)</f>
        <v>31.117897445015</v>
      </c>
      <c r="H54" s="13" t="n">
        <v>0</v>
      </c>
      <c r="I54" s="17" t="n">
        <f aca="false">IF(H54=1,D54,G54)</f>
        <v>31.117897445015</v>
      </c>
    </row>
    <row r="55" customFormat="false" ht="15" hidden="false" customHeight="false" outlineLevel="0" collapsed="false">
      <c r="A55" s="13" t="s">
        <v>225</v>
      </c>
      <c r="B55" s="13" t="s">
        <v>35</v>
      </c>
      <c r="C55" s="13" t="s">
        <v>79</v>
      </c>
      <c r="D55" s="15" t="n">
        <v>23.24465</v>
      </c>
      <c r="E55" s="13" t="n">
        <v>0.95617</v>
      </c>
      <c r="F55" s="16" t="str">
        <f aca="false">IF(H55=1,"",D55/E55)</f>
        <v/>
      </c>
      <c r="G55" s="17" t="str">
        <f aca="false">IF(H55=1,"",D55/E55*Notas!$B$3)</f>
        <v/>
      </c>
      <c r="H55" s="13" t="n">
        <v>1</v>
      </c>
      <c r="I55" s="17" t="n">
        <f aca="false">IF(H55=1,D55,G55)</f>
        <v>23.24465</v>
      </c>
    </row>
    <row r="56" customFormat="false" ht="15" hidden="false" customHeight="false" outlineLevel="0" collapsed="false">
      <c r="A56" s="13" t="s">
        <v>225</v>
      </c>
      <c r="B56" s="13" t="s">
        <v>35</v>
      </c>
      <c r="C56" s="13" t="s">
        <v>80</v>
      </c>
      <c r="D56" s="15" t="n">
        <v>32.75535</v>
      </c>
      <c r="E56" s="13" t="n">
        <v>0.95617</v>
      </c>
      <c r="F56" s="16" t="str">
        <f aca="false">IF(H56=1,"",D56/E56)</f>
        <v/>
      </c>
      <c r="G56" s="17" t="str">
        <f aca="false">IF(H56=1,"",D56/E56*Notas!$B$3)</f>
        <v/>
      </c>
      <c r="H56" s="13" t="n">
        <v>1</v>
      </c>
      <c r="I56" s="17" t="n">
        <f aca="false">IF(H56=1,D56,G56)</f>
        <v>32.75535</v>
      </c>
    </row>
    <row r="57" customFormat="false" ht="15" hidden="false" customHeight="false" outlineLevel="0" collapsed="false">
      <c r="A57" s="13" t="s">
        <v>225</v>
      </c>
      <c r="B57" s="13" t="s">
        <v>75</v>
      </c>
      <c r="C57" s="13" t="s">
        <v>81</v>
      </c>
      <c r="D57" s="15" t="n">
        <v>0.14287</v>
      </c>
      <c r="E57" s="13" t="n">
        <v>0.95617</v>
      </c>
      <c r="F57" s="16" t="n">
        <f aca="false">IF(H57=1,"",D57/E57)</f>
        <v>0.149419036363827</v>
      </c>
      <c r="G57" s="17" t="n">
        <f aca="false">IF(H57=1,"",D57/E57*Notas!$B$3)</f>
        <v>14.1948084545635</v>
      </c>
      <c r="H57" s="13" t="n">
        <v>0</v>
      </c>
      <c r="I57" s="17" t="n">
        <f aca="false">IF(H57=1,D57,G57)</f>
        <v>14.1948084545635</v>
      </c>
    </row>
    <row r="58" customFormat="false" ht="15" hidden="false" customHeight="false" outlineLevel="0" collapsed="false">
      <c r="A58" s="13" t="s">
        <v>225</v>
      </c>
      <c r="B58" s="13" t="s">
        <v>75</v>
      </c>
      <c r="C58" s="13" t="s">
        <v>82</v>
      </c>
      <c r="D58" s="15" t="n">
        <v>0.14707</v>
      </c>
      <c r="E58" s="13" t="n">
        <v>0.95617</v>
      </c>
      <c r="F58" s="16" t="n">
        <f aca="false">IF(H58=1,"",D58/E58)</f>
        <v>0.153811560705732</v>
      </c>
      <c r="G58" s="17" t="n">
        <f aca="false">IF(H58=1,"",D58/E58*Notas!$B$3)</f>
        <v>14.6120982670446</v>
      </c>
      <c r="H58" s="13" t="n">
        <v>0</v>
      </c>
      <c r="I58" s="17" t="n">
        <f aca="false">IF(H58=1,D58,G58)</f>
        <v>14.6120982670446</v>
      </c>
    </row>
    <row r="59" customFormat="false" ht="15" hidden="false" customHeight="false" outlineLevel="0" collapsed="false">
      <c r="A59" s="13" t="s">
        <v>225</v>
      </c>
      <c r="B59" s="13" t="s">
        <v>75</v>
      </c>
      <c r="C59" s="13" t="s">
        <v>83</v>
      </c>
      <c r="D59" s="15" t="n">
        <v>0.4476</v>
      </c>
      <c r="E59" s="13" t="n">
        <v>0.95617</v>
      </c>
      <c r="F59" s="16" t="n">
        <f aca="false">IF(H59=1,"",D59/E59)</f>
        <v>0.468117594151668</v>
      </c>
      <c r="G59" s="17" t="n">
        <f aca="false">IF(H59=1,"",D59/E59*Notas!$B$3)</f>
        <v>44.4711714444084</v>
      </c>
      <c r="H59" s="13" t="n">
        <v>0</v>
      </c>
      <c r="I59" s="17" t="n">
        <f aca="false">IF(H59=1,D59,G59)</f>
        <v>44.4711714444084</v>
      </c>
    </row>
    <row r="60" customFormat="false" ht="15" hidden="false" customHeight="false" outlineLevel="0" collapsed="false">
      <c r="A60" s="13" t="s">
        <v>225</v>
      </c>
      <c r="B60" s="13" t="s">
        <v>75</v>
      </c>
      <c r="C60" s="13" t="s">
        <v>84</v>
      </c>
      <c r="D60" s="15" t="n">
        <v>0.13699</v>
      </c>
      <c r="E60" s="13" t="n">
        <v>0.95617</v>
      </c>
      <c r="F60" s="16" t="n">
        <f aca="false">IF(H60=1,"",D60/E60)</f>
        <v>0.143269502285159</v>
      </c>
      <c r="G60" s="17" t="n">
        <f aca="false">IF(H60=1,"",D60/E60*Notas!$B$3)</f>
        <v>13.6106027170901</v>
      </c>
      <c r="H60" s="13" t="n">
        <v>0</v>
      </c>
      <c r="I60" s="17" t="n">
        <f aca="false">IF(H60=1,D60,G60)</f>
        <v>13.6106027170901</v>
      </c>
    </row>
    <row r="61" customFormat="false" ht="15" hidden="false" customHeight="false" outlineLevel="0" collapsed="false">
      <c r="A61" s="13" t="s">
        <v>225</v>
      </c>
      <c r="B61" s="13" t="s">
        <v>75</v>
      </c>
      <c r="C61" s="13" t="s">
        <v>85</v>
      </c>
      <c r="D61" s="15" t="n">
        <v>0.14406</v>
      </c>
      <c r="E61" s="13" t="n">
        <v>0.95617</v>
      </c>
      <c r="F61" s="16" t="n">
        <f aca="false">IF(H61=1,"",D61/E61)</f>
        <v>0.150663584927366</v>
      </c>
      <c r="G61" s="17" t="n">
        <f aca="false">IF(H61=1,"",D61/E61*Notas!$B$3)</f>
        <v>14.3130405680998</v>
      </c>
      <c r="H61" s="13" t="n">
        <v>0</v>
      </c>
      <c r="I61" s="17" t="n">
        <f aca="false">IF(H61=1,D61,G61)</f>
        <v>14.3130405680998</v>
      </c>
    </row>
    <row r="62" customFormat="false" ht="15" hidden="false" customHeight="false" outlineLevel="0" collapsed="false">
      <c r="A62" s="13" t="s">
        <v>225</v>
      </c>
      <c r="B62" s="13" t="s">
        <v>75</v>
      </c>
      <c r="C62" s="13" t="s">
        <v>86</v>
      </c>
      <c r="D62" s="15" t="n">
        <v>0.43313</v>
      </c>
      <c r="E62" s="13" t="n">
        <v>0.95617</v>
      </c>
      <c r="F62" s="16" t="n">
        <f aca="false">IF(H62=1,"",D62/E62)</f>
        <v>0.452984301954673</v>
      </c>
      <c r="G62" s="17" t="n">
        <f aca="false">IF(H62=1,"",D62/E62*Notas!$B$3)</f>
        <v>43.033508685694</v>
      </c>
      <c r="H62" s="13" t="n">
        <v>0</v>
      </c>
      <c r="I62" s="17" t="n">
        <f aca="false">IF(H62=1,D62,G62)</f>
        <v>43.033508685694</v>
      </c>
    </row>
    <row r="63" customFormat="false" ht="15" hidden="false" customHeight="false" outlineLevel="0" collapsed="false">
      <c r="A63" s="13" t="s">
        <v>225</v>
      </c>
      <c r="B63" s="13" t="s">
        <v>75</v>
      </c>
      <c r="C63" s="13" t="s">
        <v>87</v>
      </c>
      <c r="D63" s="15" t="n">
        <v>0.03686</v>
      </c>
      <c r="E63" s="13" t="n">
        <v>0.95617</v>
      </c>
      <c r="F63" s="16" t="n">
        <f aca="false">IF(H63=1,"",D63/E63)</f>
        <v>0.0385496302958679</v>
      </c>
      <c r="G63" s="17" t="n">
        <f aca="false">IF(H63=1,"",D63/E63*Notas!$B$3)</f>
        <v>3.66221487810745</v>
      </c>
      <c r="H63" s="13" t="n">
        <v>0</v>
      </c>
      <c r="I63" s="17" t="n">
        <f aca="false">IF(H63=1,D63,G63)</f>
        <v>3.66221487810745</v>
      </c>
    </row>
    <row r="64" customFormat="false" ht="15" hidden="false" customHeight="false" outlineLevel="0" collapsed="false">
      <c r="A64" s="13" t="s">
        <v>225</v>
      </c>
      <c r="B64" s="13" t="s">
        <v>75</v>
      </c>
      <c r="C64" s="13" t="s">
        <v>88</v>
      </c>
      <c r="D64" s="15" t="n">
        <v>0.13876</v>
      </c>
      <c r="E64" s="13" t="n">
        <v>0.95617</v>
      </c>
      <c r="F64" s="16" t="n">
        <f aca="false">IF(H64=1,"",D64/E64)</f>
        <v>0.145120637543533</v>
      </c>
      <c r="G64" s="17" t="n">
        <f aca="false">IF(H64=1,"",D64/E64*Notas!$B$3)</f>
        <v>13.7864605666356</v>
      </c>
      <c r="H64" s="13" t="n">
        <v>0</v>
      </c>
      <c r="I64" s="17" t="n">
        <f aca="false">IF(H64=1,D64,G64)</f>
        <v>13.7864605666356</v>
      </c>
    </row>
    <row r="65" customFormat="false" ht="15" hidden="false" customHeight="false" outlineLevel="0" collapsed="false">
      <c r="A65" s="13" t="s">
        <v>225</v>
      </c>
      <c r="B65" s="13" t="s">
        <v>75</v>
      </c>
      <c r="C65" s="13" t="s">
        <v>89</v>
      </c>
      <c r="D65" s="15" t="n">
        <v>0.14371</v>
      </c>
      <c r="E65" s="13" t="n">
        <v>0.95617</v>
      </c>
      <c r="F65" s="16" t="n">
        <f aca="false">IF(H65=1,"",D65/E65)</f>
        <v>0.150297541232208</v>
      </c>
      <c r="G65" s="17" t="n">
        <f aca="false">IF(H65=1,"",D65/E65*Notas!$B$3)</f>
        <v>14.2782664170597</v>
      </c>
      <c r="H65" s="13" t="n">
        <v>0</v>
      </c>
      <c r="I65" s="17" t="n">
        <f aca="false">IF(H65=1,D65,G65)</f>
        <v>14.2782664170597</v>
      </c>
    </row>
    <row r="66" customFormat="false" ht="15" hidden="false" customHeight="false" outlineLevel="0" collapsed="false">
      <c r="A66" s="13" t="s">
        <v>225</v>
      </c>
      <c r="B66" s="13" t="s">
        <v>75</v>
      </c>
      <c r="C66" s="13" t="s">
        <v>90</v>
      </c>
      <c r="D66" s="15" t="n">
        <v>0.43388</v>
      </c>
      <c r="E66" s="13" t="n">
        <v>0.95617</v>
      </c>
      <c r="F66" s="16" t="n">
        <f aca="false">IF(H66=1,"",D66/E66)</f>
        <v>0.453768681301442</v>
      </c>
      <c r="G66" s="17" t="n">
        <f aca="false">IF(H66=1,"",D66/E66*Notas!$B$3)</f>
        <v>43.108024723637</v>
      </c>
      <c r="H66" s="13" t="n">
        <v>0</v>
      </c>
      <c r="I66" s="17" t="n">
        <f aca="false">IF(H66=1,D66,G66)</f>
        <v>43.108024723637</v>
      </c>
    </row>
    <row r="67" customFormat="false" ht="15" hidden="false" customHeight="false" outlineLevel="0" collapsed="false">
      <c r="A67" s="13" t="s">
        <v>225</v>
      </c>
      <c r="B67" s="13" t="s">
        <v>75</v>
      </c>
      <c r="C67" s="13" t="s">
        <v>91</v>
      </c>
      <c r="D67" s="15" t="n">
        <v>0.13261</v>
      </c>
      <c r="E67" s="13" t="n">
        <v>0.95617</v>
      </c>
      <c r="F67" s="16" t="n">
        <f aca="false">IF(H67=1,"",D67/E67)</f>
        <v>0.138688726900028</v>
      </c>
      <c r="G67" s="17" t="n">
        <f aca="false">IF(H67=1,"",D67/E67*Notas!$B$3)</f>
        <v>13.1754290555027</v>
      </c>
      <c r="H67" s="13" t="n">
        <v>0</v>
      </c>
      <c r="I67" s="17" t="n">
        <f aca="false">IF(H67=1,D67,G67)</f>
        <v>13.1754290555027</v>
      </c>
    </row>
    <row r="68" customFormat="false" ht="15" hidden="false" customHeight="false" outlineLevel="0" collapsed="false">
      <c r="A68" s="13" t="s">
        <v>225</v>
      </c>
      <c r="B68" s="13" t="s">
        <v>75</v>
      </c>
      <c r="C68" s="13" t="s">
        <v>92</v>
      </c>
      <c r="D68" s="15" t="n">
        <v>0.13764</v>
      </c>
      <c r="E68" s="13" t="n">
        <v>0.95617</v>
      </c>
      <c r="F68" s="16" t="n">
        <f aca="false">IF(H68=1,"",D68/E68)</f>
        <v>0.143949297719025</v>
      </c>
      <c r="G68" s="17" t="n">
        <f aca="false">IF(H68=1,"",D68/E68*Notas!$B$3)</f>
        <v>13.6751832833074</v>
      </c>
      <c r="H68" s="13" t="n">
        <v>0</v>
      </c>
      <c r="I68" s="17" t="n">
        <f aca="false">IF(H68=1,D68,G68)</f>
        <v>13.6751832833074</v>
      </c>
    </row>
    <row r="69" customFormat="false" ht="15" hidden="false" customHeight="false" outlineLevel="0" collapsed="false">
      <c r="A69" s="13" t="s">
        <v>225</v>
      </c>
      <c r="B69" s="13" t="s">
        <v>75</v>
      </c>
      <c r="C69" s="13" t="s">
        <v>93</v>
      </c>
      <c r="D69" s="15" t="n">
        <v>0.4148</v>
      </c>
      <c r="E69" s="13" t="n">
        <v>0.95617</v>
      </c>
      <c r="F69" s="16" t="n">
        <f aca="false">IF(H69=1,"",D69/E69)</f>
        <v>0.433814070719642</v>
      </c>
      <c r="G69" s="17" t="n">
        <f aca="false">IF(H69=1,"",D69/E69*Notas!$B$3)</f>
        <v>41.212336718366</v>
      </c>
      <c r="H69" s="13" t="n">
        <v>0</v>
      </c>
      <c r="I69" s="17" t="n">
        <f aca="false">IF(H69=1,D69,G69)</f>
        <v>41.212336718366</v>
      </c>
    </row>
    <row r="70" customFormat="false" ht="15" hidden="false" customHeight="false" outlineLevel="0" collapsed="false">
      <c r="A70" s="13" t="s">
        <v>225</v>
      </c>
      <c r="B70" s="13" t="s">
        <v>75</v>
      </c>
      <c r="C70" s="13" t="s">
        <v>94</v>
      </c>
      <c r="D70" s="15" t="n">
        <v>0.05115</v>
      </c>
      <c r="E70" s="13" t="n">
        <v>0.95617</v>
      </c>
      <c r="F70" s="16" t="n">
        <f aca="false">IF(H70=1,"",D70/E70)</f>
        <v>0.0534946714496376</v>
      </c>
      <c r="G70" s="17" t="n">
        <f aca="false">IF(H70=1,"",D70/E70*Notas!$B$3)</f>
        <v>5.08199378771557</v>
      </c>
      <c r="H70" s="13" t="n">
        <v>0</v>
      </c>
      <c r="I70" s="17" t="n">
        <f aca="false">IF(H70=1,D70,G70)</f>
        <v>5.08199378771557</v>
      </c>
    </row>
    <row r="71" customFormat="false" ht="15" hidden="false" customHeight="false" outlineLevel="0" collapsed="false">
      <c r="A71" s="13" t="s">
        <v>225</v>
      </c>
      <c r="B71" s="13" t="s">
        <v>75</v>
      </c>
      <c r="C71" s="13" t="s">
        <v>95</v>
      </c>
      <c r="D71" s="15" t="n">
        <v>0.16436</v>
      </c>
      <c r="E71" s="13" t="n">
        <v>0.95617</v>
      </c>
      <c r="F71" s="16" t="n">
        <f aca="false">IF(H71=1,"",D71/E71)</f>
        <v>0.171894119246578</v>
      </c>
      <c r="G71" s="17" t="n">
        <f aca="false">IF(H71=1,"",D71/E71*Notas!$B$3)</f>
        <v>16.3299413284249</v>
      </c>
      <c r="H71" s="13" t="n">
        <v>0</v>
      </c>
      <c r="I71" s="17" t="n">
        <f aca="false">IF(H71=1,D71,G71)</f>
        <v>16.3299413284249</v>
      </c>
    </row>
    <row r="72" customFormat="false" ht="15" hidden="false" customHeight="false" outlineLevel="0" collapsed="false">
      <c r="A72" s="13" t="s">
        <v>225</v>
      </c>
      <c r="B72" s="13" t="s">
        <v>75</v>
      </c>
      <c r="C72" s="13" t="s">
        <v>96</v>
      </c>
      <c r="D72" s="15" t="n">
        <v>0.16766</v>
      </c>
      <c r="E72" s="13" t="n">
        <v>0.95617</v>
      </c>
      <c r="F72" s="16" t="n">
        <f aca="false">IF(H72=1,"",D72/E72)</f>
        <v>0.175345388372361</v>
      </c>
      <c r="G72" s="17" t="n">
        <f aca="false">IF(H72=1,"",D72/E72*Notas!$B$3)</f>
        <v>16.6578118953743</v>
      </c>
      <c r="H72" s="13" t="n">
        <v>0</v>
      </c>
      <c r="I72" s="17" t="n">
        <f aca="false">IF(H72=1,D72,G72)</f>
        <v>16.6578118953743</v>
      </c>
    </row>
    <row r="73" customFormat="false" ht="15" hidden="false" customHeight="false" outlineLevel="0" collapsed="false">
      <c r="A73" s="13" t="s">
        <v>225</v>
      </c>
      <c r="B73" s="13" t="s">
        <v>75</v>
      </c>
      <c r="C73" s="13" t="s">
        <v>97</v>
      </c>
      <c r="D73" s="15" t="n">
        <v>0.50659</v>
      </c>
      <c r="E73" s="13" t="n">
        <v>0.95617</v>
      </c>
      <c r="F73" s="16" t="n">
        <f aca="false">IF(H73=1,"",D73/E73)</f>
        <v>0.529811644372863</v>
      </c>
      <c r="G73" s="17" t="n">
        <f aca="false">IF(H73=1,"",D73/E73*Notas!$B$3)</f>
        <v>50.3321062154219</v>
      </c>
      <c r="H73" s="13" t="n">
        <v>0</v>
      </c>
      <c r="I73" s="17" t="n">
        <f aca="false">IF(H73=1,D73,G73)</f>
        <v>50.3321062154219</v>
      </c>
    </row>
    <row r="74" customFormat="false" ht="15" hidden="false" customHeight="false" outlineLevel="0" collapsed="false">
      <c r="A74" s="13" t="s">
        <v>225</v>
      </c>
      <c r="B74" s="13" t="s">
        <v>75</v>
      </c>
      <c r="C74" s="13" t="s">
        <v>98</v>
      </c>
      <c r="D74" s="15" t="n">
        <v>0.14878</v>
      </c>
      <c r="E74" s="13" t="n">
        <v>0.95617</v>
      </c>
      <c r="F74" s="16" t="n">
        <f aca="false">IF(H74=1,"",D74/E74)</f>
        <v>0.155599945616365</v>
      </c>
      <c r="G74" s="17" t="n">
        <f aca="false">IF(H74=1,"",D74/E74*Notas!$B$3)</f>
        <v>14.7819948335547</v>
      </c>
      <c r="H74" s="13" t="n">
        <v>0</v>
      </c>
      <c r="I74" s="17" t="n">
        <f aca="false">IF(H74=1,D74,G74)</f>
        <v>14.7819948335547</v>
      </c>
    </row>
    <row r="75" customFormat="false" ht="15" hidden="false" customHeight="false" outlineLevel="0" collapsed="false">
      <c r="A75" s="13" t="s">
        <v>225</v>
      </c>
      <c r="B75" s="13" t="s">
        <v>75</v>
      </c>
      <c r="C75" s="13" t="s">
        <v>99</v>
      </c>
      <c r="D75" s="15" t="n">
        <v>0.16354</v>
      </c>
      <c r="E75" s="13" t="n">
        <v>0.95617</v>
      </c>
      <c r="F75" s="16" t="n">
        <f aca="false">IF(H75=1,"",D75/E75)</f>
        <v>0.171036531160777</v>
      </c>
      <c r="G75" s="17" t="n">
        <f aca="false">IF(H75=1,"",D75/E75*Notas!$B$3)</f>
        <v>16.2484704602738</v>
      </c>
      <c r="H75" s="13" t="n">
        <v>0</v>
      </c>
      <c r="I75" s="17" t="n">
        <f aca="false">IF(H75=1,D75,G75)</f>
        <v>16.2484704602738</v>
      </c>
    </row>
    <row r="76" customFormat="false" ht="15" hidden="false" customHeight="false" outlineLevel="0" collapsed="false">
      <c r="A76" s="13" t="s">
        <v>225</v>
      </c>
      <c r="B76" s="13" t="s">
        <v>75</v>
      </c>
      <c r="C76" s="13" t="s">
        <v>100</v>
      </c>
      <c r="D76" s="15" t="n">
        <v>0.48372</v>
      </c>
      <c r="E76" s="13" t="n">
        <v>0.95617</v>
      </c>
      <c r="F76" s="16" t="n">
        <f aca="false">IF(H76=1,"",D76/E76)</f>
        <v>0.505893303492057</v>
      </c>
      <c r="G76" s="17" t="n">
        <f aca="false">IF(H76=1,"",D76/E76*Notas!$B$3)</f>
        <v>48.0598638317454</v>
      </c>
      <c r="H76" s="13" t="n">
        <v>0</v>
      </c>
      <c r="I76" s="17" t="n">
        <f aca="false">IF(H76=1,D76,G76)</f>
        <v>48.0598638317454</v>
      </c>
    </row>
    <row r="77" customFormat="false" ht="15" hidden="false" customHeight="false" outlineLevel="0" collapsed="false">
      <c r="A77" s="13" t="s">
        <v>225</v>
      </c>
      <c r="B77" s="13" t="s">
        <v>75</v>
      </c>
      <c r="C77" s="13" t="s">
        <v>101</v>
      </c>
      <c r="D77" s="15" t="n">
        <v>0.04507</v>
      </c>
      <c r="E77" s="13" t="n">
        <v>0.95617</v>
      </c>
      <c r="F77" s="16" t="n">
        <f aca="false">IF(H77=1,"",D77/E77)</f>
        <v>0.0471359695451646</v>
      </c>
      <c r="G77" s="17" t="n">
        <f aca="false">IF(H77=1,"",D77/E77*Notas!$B$3)</f>
        <v>4.47791710679063</v>
      </c>
      <c r="H77" s="13" t="n">
        <v>0</v>
      </c>
      <c r="I77" s="17" t="n">
        <f aca="false">IF(H77=1,D77,G77)</f>
        <v>4.47791710679063</v>
      </c>
    </row>
    <row r="78" customFormat="false" ht="15" hidden="false" customHeight="false" outlineLevel="0" collapsed="false">
      <c r="A78" s="13" t="s">
        <v>225</v>
      </c>
      <c r="B78" s="13" t="s">
        <v>102</v>
      </c>
      <c r="C78" s="13" t="s">
        <v>103</v>
      </c>
      <c r="D78" s="15" t="n">
        <v>0.21442</v>
      </c>
      <c r="E78" s="13" t="n">
        <v>0.95617</v>
      </c>
      <c r="F78" s="16" t="n">
        <f aca="false">IF(H78=1,"",D78/E78)</f>
        <v>0.224248826045578</v>
      </c>
      <c r="G78" s="17" t="n">
        <f aca="false">IF(H78=1,"",D78/E78*Notas!$B$3)</f>
        <v>21.3036384743299</v>
      </c>
      <c r="H78" s="13" t="n">
        <v>0</v>
      </c>
      <c r="I78" s="17" t="n">
        <f aca="false">IF(H78=1,D78,G78)</f>
        <v>21.3036384743299</v>
      </c>
    </row>
    <row r="79" customFormat="false" ht="15" hidden="false" customHeight="false" outlineLevel="0" collapsed="false">
      <c r="A79" s="13" t="s">
        <v>225</v>
      </c>
      <c r="B79" s="13" t="s">
        <v>102</v>
      </c>
      <c r="C79" s="13" t="s">
        <v>104</v>
      </c>
      <c r="D79" s="15" t="n">
        <v>0.20708</v>
      </c>
      <c r="E79" s="13" t="n">
        <v>0.95617</v>
      </c>
      <c r="F79" s="16" t="n">
        <f aca="false">IF(H79=1,"",D79/E79)</f>
        <v>0.216572366838533</v>
      </c>
      <c r="G79" s="17" t="n">
        <f aca="false">IF(H79=1,"",D79/E79*Notas!$B$3)</f>
        <v>20.5743748496606</v>
      </c>
      <c r="H79" s="13" t="n">
        <v>0</v>
      </c>
      <c r="I79" s="17" t="n">
        <f aca="false">IF(H79=1,D79,G79)</f>
        <v>20.5743748496606</v>
      </c>
    </row>
    <row r="80" customFormat="false" ht="15" hidden="false" customHeight="false" outlineLevel="0" collapsed="false">
      <c r="A80" s="13" t="s">
        <v>225</v>
      </c>
      <c r="B80" s="13" t="s">
        <v>102</v>
      </c>
      <c r="C80" s="13" t="s">
        <v>105</v>
      </c>
      <c r="D80" s="15" t="n">
        <v>0.08931</v>
      </c>
      <c r="E80" s="13" t="n">
        <v>0.95617</v>
      </c>
      <c r="F80" s="16" t="n">
        <f aca="false">IF(H80=1,"",D80/E80)</f>
        <v>0.0934038926132382</v>
      </c>
      <c r="G80" s="17" t="n">
        <f aca="false">IF(H80=1,"",D80/E80*Notas!$B$3)</f>
        <v>8.87336979825763</v>
      </c>
      <c r="H80" s="13" t="n">
        <v>0</v>
      </c>
      <c r="I80" s="17" t="n">
        <f aca="false">IF(H80=1,D80,G80)</f>
        <v>8.87336979825763</v>
      </c>
    </row>
    <row r="81" customFormat="false" ht="15" hidden="false" customHeight="false" outlineLevel="0" collapsed="false">
      <c r="A81" s="13" t="s">
        <v>225</v>
      </c>
      <c r="B81" s="13" t="s">
        <v>102</v>
      </c>
      <c r="C81" s="13" t="s">
        <v>106</v>
      </c>
      <c r="D81" s="15" t="n">
        <v>-0.1153</v>
      </c>
      <c r="E81" s="13" t="n">
        <v>0.95617</v>
      </c>
      <c r="F81" s="16" t="n">
        <f aca="false">IF(H81=1,"",D81/E81)</f>
        <v>-0.120585251576602</v>
      </c>
      <c r="G81" s="17" t="n">
        <f aca="false">IF(H81=1,"",D81/E81*Notas!$B$3)</f>
        <v>-11.4555988997772</v>
      </c>
      <c r="H81" s="13" t="n">
        <v>0</v>
      </c>
      <c r="I81" s="17" t="n">
        <f aca="false">IF(H81=1,D81,G81)</f>
        <v>-11.4555988997772</v>
      </c>
    </row>
    <row r="82" customFormat="false" ht="15" hidden="false" customHeight="false" outlineLevel="0" collapsed="false">
      <c r="A82" s="13" t="s">
        <v>225</v>
      </c>
      <c r="B82" s="13" t="s">
        <v>102</v>
      </c>
      <c r="C82" s="13" t="s">
        <v>107</v>
      </c>
      <c r="D82" s="15" t="n">
        <v>0.21071</v>
      </c>
      <c r="E82" s="13" t="n">
        <v>0.95617</v>
      </c>
      <c r="F82" s="16" t="n">
        <f aca="false">IF(H82=1,"",D82/E82)</f>
        <v>0.220368762876894</v>
      </c>
      <c r="G82" s="17" t="n">
        <f aca="false">IF(H82=1,"",D82/E82*Notas!$B$3)</f>
        <v>20.935032473305</v>
      </c>
      <c r="H82" s="13" t="n">
        <v>0</v>
      </c>
      <c r="I82" s="17" t="n">
        <f aca="false">IF(H82=1,D82,G82)</f>
        <v>20.935032473305</v>
      </c>
    </row>
    <row r="83" customFormat="false" ht="15" hidden="false" customHeight="false" outlineLevel="0" collapsed="false">
      <c r="A83" s="13" t="s">
        <v>225</v>
      </c>
      <c r="B83" s="13" t="s">
        <v>102</v>
      </c>
      <c r="C83" s="13" t="s">
        <v>108</v>
      </c>
      <c r="D83" s="15" t="n">
        <v>0.19016</v>
      </c>
      <c r="E83" s="13" t="n">
        <v>0.95617</v>
      </c>
      <c r="F83" s="16" t="n">
        <f aca="false">IF(H83=1,"",D83/E83)</f>
        <v>0.198876768775427</v>
      </c>
      <c r="G83" s="17" t="n">
        <f aca="false">IF(H83=1,"",D83/E83*Notas!$B$3)</f>
        <v>18.8932930336656</v>
      </c>
      <c r="H83" s="13" t="n">
        <v>0</v>
      </c>
      <c r="I83" s="17" t="n">
        <f aca="false">IF(H83=1,D83,G83)</f>
        <v>18.8932930336656</v>
      </c>
    </row>
    <row r="84" customFormat="false" ht="15" hidden="false" customHeight="false" outlineLevel="0" collapsed="false">
      <c r="A84" s="13" t="s">
        <v>225</v>
      </c>
      <c r="B84" s="13" t="s">
        <v>102</v>
      </c>
      <c r="C84" s="13" t="s">
        <v>109</v>
      </c>
      <c r="D84" s="15" t="n">
        <v>0.11882</v>
      </c>
      <c r="E84" s="13" t="n">
        <v>0.95617</v>
      </c>
      <c r="F84" s="16" t="n">
        <f aca="false">IF(H84=1,"",D84/E84)</f>
        <v>0.124266605310771</v>
      </c>
      <c r="G84" s="17" t="n">
        <f aca="false">IF(H84=1,"",D84/E84*Notas!$B$3)</f>
        <v>11.8053275045233</v>
      </c>
      <c r="H84" s="13" t="n">
        <v>0</v>
      </c>
      <c r="I84" s="17" t="n">
        <f aca="false">IF(H84=1,D84,G84)</f>
        <v>11.8053275045233</v>
      </c>
    </row>
    <row r="85" customFormat="false" ht="15" hidden="false" customHeight="false" outlineLevel="0" collapsed="false">
      <c r="A85" s="13" t="s">
        <v>225</v>
      </c>
      <c r="B85" s="13" t="s">
        <v>102</v>
      </c>
      <c r="C85" s="13" t="s">
        <v>110</v>
      </c>
      <c r="D85" s="15" t="n">
        <v>0.12934</v>
      </c>
      <c r="E85" s="13" t="n">
        <v>0.95617</v>
      </c>
      <c r="F85" s="16" t="n">
        <f aca="false">IF(H85=1,"",D85/E85)</f>
        <v>0.135268832948116</v>
      </c>
      <c r="G85" s="17" t="n">
        <f aca="false">IF(H85=1,"",D85/E85*Notas!$B$3)</f>
        <v>12.850539130071</v>
      </c>
      <c r="H85" s="13" t="n">
        <v>0</v>
      </c>
      <c r="I85" s="17" t="n">
        <f aca="false">IF(H85=1,D85,G85)</f>
        <v>12.850539130071</v>
      </c>
    </row>
    <row r="86" customFormat="false" ht="15" hidden="false" customHeight="false" outlineLevel="0" collapsed="false">
      <c r="A86" s="13" t="s">
        <v>225</v>
      </c>
      <c r="B86" s="13" t="s">
        <v>102</v>
      </c>
      <c r="C86" s="13" t="s">
        <v>111</v>
      </c>
      <c r="D86" s="15" t="n">
        <v>0.44326</v>
      </c>
      <c r="E86" s="13" t="n">
        <v>0.95617</v>
      </c>
      <c r="F86" s="16" t="n">
        <f aca="false">IF(H86=1,"",D86/E86)</f>
        <v>0.463578652331698</v>
      </c>
      <c r="G86" s="17" t="n">
        <f aca="false">IF(H86=1,"",D86/E86*Notas!$B$3)</f>
        <v>44.0399719715113</v>
      </c>
      <c r="H86" s="13" t="n">
        <v>0</v>
      </c>
      <c r="I86" s="17" t="n">
        <f aca="false">IF(H86=1,D86,G86)</f>
        <v>44.0399719715113</v>
      </c>
    </row>
    <row r="87" customFormat="false" ht="15" hidden="false" customHeight="false" outlineLevel="0" collapsed="false">
      <c r="A87" s="13" t="s">
        <v>225</v>
      </c>
      <c r="B87" s="13" t="s">
        <v>102</v>
      </c>
      <c r="C87" s="13" t="s">
        <v>112</v>
      </c>
      <c r="D87" s="15" t="n">
        <v>0.11882</v>
      </c>
      <c r="E87" s="13" t="n">
        <v>0.95617</v>
      </c>
      <c r="F87" s="16" t="n">
        <f aca="false">IF(H87=1,"",D87/E87)</f>
        <v>0.124266605310771</v>
      </c>
      <c r="G87" s="17" t="n">
        <f aca="false">IF(H87=1,"",D87/E87*Notas!$B$3)</f>
        <v>11.8053275045233</v>
      </c>
      <c r="H87" s="13" t="n">
        <v>0</v>
      </c>
      <c r="I87" s="17" t="n">
        <f aca="false">IF(H87=1,D87,G87)</f>
        <v>11.8053275045233</v>
      </c>
    </row>
    <row r="88" customFormat="false" ht="15" hidden="false" customHeight="false" outlineLevel="0" collapsed="false">
      <c r="A88" s="13" t="s">
        <v>225</v>
      </c>
      <c r="B88" s="13" t="s">
        <v>17</v>
      </c>
      <c r="C88" s="13" t="s">
        <v>113</v>
      </c>
      <c r="D88" s="15" t="n">
        <v>1</v>
      </c>
      <c r="E88" s="13" t="n">
        <v>0.95617</v>
      </c>
      <c r="F88" s="16" t="str">
        <f aca="false">IF(H88=1,"",D88/E88)</f>
        <v/>
      </c>
      <c r="G88" s="17" t="str">
        <f aca="false">IF(H88=1,"",D88/E88*Notas!$B$3)</f>
        <v/>
      </c>
      <c r="H88" s="13" t="n">
        <v>1</v>
      </c>
      <c r="I88" s="17" t="n">
        <f aca="false">IF(H88=1,D88,G88)</f>
        <v>1</v>
      </c>
    </row>
    <row r="89" customFormat="false" ht="15" hidden="false" customHeight="false" outlineLevel="0" collapsed="false">
      <c r="A89" s="13" t="s">
        <v>225</v>
      </c>
      <c r="B89" s="13" t="s">
        <v>114</v>
      </c>
      <c r="C89" s="13" t="s">
        <v>115</v>
      </c>
      <c r="D89" s="15" t="n">
        <v>0.47282</v>
      </c>
      <c r="E89" s="13" t="n">
        <v>0.95617</v>
      </c>
      <c r="F89" s="16" t="n">
        <f aca="false">IF(H89=1,"",D89/E89)</f>
        <v>0.494493656985683</v>
      </c>
      <c r="G89" s="17" t="n">
        <f aca="false">IF(H89=1,"",D89/E89*Notas!$B$3)</f>
        <v>46.9768974136398</v>
      </c>
      <c r="H89" s="13" t="n">
        <v>0</v>
      </c>
      <c r="I89" s="17" t="n">
        <f aca="false">IF(H89=1,D89,G89)</f>
        <v>46.9768974136398</v>
      </c>
    </row>
    <row r="90" customFormat="false" ht="15" hidden="false" customHeight="false" outlineLevel="0" collapsed="false">
      <c r="A90" s="13" t="s">
        <v>225</v>
      </c>
      <c r="B90" s="13" t="s">
        <v>114</v>
      </c>
      <c r="C90" s="13" t="s">
        <v>116</v>
      </c>
      <c r="D90" s="15" t="n">
        <v>0.99263</v>
      </c>
      <c r="E90" s="13" t="n">
        <v>0.95617</v>
      </c>
      <c r="F90" s="16" t="n">
        <f aca="false">IF(H90=1,"",D90/E90)</f>
        <v>1.03813129464426</v>
      </c>
      <c r="G90" s="17" t="n">
        <f aca="false">IF(H90=1,"",D90/E90*Notas!$B$3)</f>
        <v>98.6224729912045</v>
      </c>
      <c r="H90" s="13" t="n">
        <v>0</v>
      </c>
      <c r="I90" s="17" t="n">
        <f aca="false">IF(H90=1,D90,G90)</f>
        <v>98.6224729912045</v>
      </c>
    </row>
    <row r="91" customFormat="false" ht="15" hidden="false" customHeight="false" outlineLevel="0" collapsed="false">
      <c r="A91" s="13" t="s">
        <v>225</v>
      </c>
      <c r="B91" s="13" t="s">
        <v>114</v>
      </c>
      <c r="C91" s="13" t="s">
        <v>117</v>
      </c>
      <c r="D91" s="15" t="n">
        <v>0.1491</v>
      </c>
      <c r="E91" s="13" t="n">
        <v>0.95617</v>
      </c>
      <c r="F91" s="16" t="n">
        <f aca="false">IF(H91=1,"",D91/E91)</f>
        <v>0.155934614137653</v>
      </c>
      <c r="G91" s="17" t="n">
        <f aca="false">IF(H91=1,"",D91/E91*Notas!$B$3)</f>
        <v>14.8137883430771</v>
      </c>
      <c r="H91" s="13" t="n">
        <v>0</v>
      </c>
      <c r="I91" s="17" t="n">
        <f aca="false">IF(H91=1,D91,G91)</f>
        <v>14.8137883430771</v>
      </c>
    </row>
    <row r="92" customFormat="false" ht="15" hidden="false" customHeight="false" outlineLevel="0" collapsed="false">
      <c r="A92" s="13" t="s">
        <v>225</v>
      </c>
      <c r="B92" s="13" t="s">
        <v>114</v>
      </c>
      <c r="C92" s="13" t="s">
        <v>118</v>
      </c>
      <c r="D92" s="15" t="n">
        <v>2.40994</v>
      </c>
      <c r="E92" s="13" t="n">
        <v>0.95617</v>
      </c>
      <c r="F92" s="16" t="n">
        <f aca="false">IF(H92=1,"",D92/E92)</f>
        <v>2.52040955060293</v>
      </c>
      <c r="G92" s="17" t="n">
        <f aca="false">IF(H92=1,"",D92/E92*Notas!$B$3)</f>
        <v>239.438907307278</v>
      </c>
      <c r="H92" s="13" t="n">
        <v>0</v>
      </c>
      <c r="I92" s="17" t="n">
        <f aca="false">IF(H92=1,D92,G92)</f>
        <v>239.438907307278</v>
      </c>
    </row>
    <row r="93" customFormat="false" ht="15" hidden="false" customHeight="false" outlineLevel="0" collapsed="false">
      <c r="A93" s="13" t="s">
        <v>225</v>
      </c>
      <c r="B93" s="13" t="s">
        <v>114</v>
      </c>
      <c r="C93" s="13" t="s">
        <v>119</v>
      </c>
      <c r="D93" s="15" t="n">
        <v>0.99263</v>
      </c>
      <c r="E93" s="13" t="n">
        <v>0.95617</v>
      </c>
      <c r="F93" s="16" t="n">
        <f aca="false">IF(H93=1,"",D93/E93)</f>
        <v>1.03813129464426</v>
      </c>
      <c r="G93" s="17" t="n">
        <f aca="false">IF(H93=1,"",D93/E93*Notas!$B$3)</f>
        <v>98.6224729912045</v>
      </c>
      <c r="H93" s="13" t="n">
        <v>0</v>
      </c>
      <c r="I93" s="17" t="n">
        <f aca="false">IF(H93=1,D93,G93)</f>
        <v>98.6224729912045</v>
      </c>
    </row>
    <row r="94" customFormat="false" ht="15" hidden="false" customHeight="false" outlineLevel="0" collapsed="false">
      <c r="A94" s="13" t="s">
        <v>225</v>
      </c>
      <c r="B94" s="13" t="s">
        <v>114</v>
      </c>
      <c r="C94" s="13" t="s">
        <v>120</v>
      </c>
      <c r="D94" s="15" t="n">
        <v>1</v>
      </c>
      <c r="E94" s="13" t="n">
        <v>0.95617</v>
      </c>
      <c r="F94" s="16" t="str">
        <f aca="false">IF(H94=1,"",D94/E94)</f>
        <v/>
      </c>
      <c r="G94" s="17" t="str">
        <f aca="false">IF(H94=1,"",D94/E94*Notas!$B$3)</f>
        <v/>
      </c>
      <c r="H94" s="13" t="n">
        <v>1</v>
      </c>
      <c r="I94" s="17" t="n">
        <f aca="false">IF(H94=1,D94,G94)</f>
        <v>1</v>
      </c>
    </row>
    <row r="95" customFormat="false" ht="15" hidden="false" customHeight="false" outlineLevel="0" collapsed="false">
      <c r="A95" s="13" t="s">
        <v>225</v>
      </c>
      <c r="B95" s="13" t="s">
        <v>114</v>
      </c>
      <c r="C95" s="13" t="s">
        <v>121</v>
      </c>
      <c r="D95" s="15" t="n">
        <v>0.27729</v>
      </c>
      <c r="E95" s="13" t="n">
        <v>0.95617</v>
      </c>
      <c r="F95" s="16" t="n">
        <f aca="false">IF(H95=1,"",D95/E95)</f>
        <v>0.29000073208739</v>
      </c>
      <c r="G95" s="17" t="n">
        <f aca="false">IF(H95=1,"",D95/E95*Notas!$B$3)</f>
        <v>27.5500695483021</v>
      </c>
      <c r="H95" s="13" t="n">
        <v>0</v>
      </c>
      <c r="I95" s="17" t="n">
        <f aca="false">IF(H95=1,D95,G95)</f>
        <v>27.5500695483021</v>
      </c>
    </row>
    <row r="96" customFormat="false" ht="15" hidden="false" customHeight="false" outlineLevel="0" collapsed="false">
      <c r="A96" s="13" t="s">
        <v>225</v>
      </c>
      <c r="B96" s="13" t="s">
        <v>114</v>
      </c>
      <c r="C96" s="13" t="s">
        <v>122</v>
      </c>
      <c r="D96" s="15" t="n">
        <v>0.30279</v>
      </c>
      <c r="E96" s="13" t="n">
        <v>0.95617</v>
      </c>
      <c r="F96" s="16" t="n">
        <f aca="false">IF(H96=1,"",D96/E96)</f>
        <v>0.316669629877532</v>
      </c>
      <c r="G96" s="17" t="n">
        <f aca="false">IF(H96=1,"",D96/E96*Notas!$B$3)</f>
        <v>30.0836148383656</v>
      </c>
      <c r="H96" s="13" t="n">
        <v>0</v>
      </c>
      <c r="I96" s="17" t="n">
        <f aca="false">IF(H96=1,D96,G96)</f>
        <v>30.0836148383656</v>
      </c>
    </row>
    <row r="97" customFormat="false" ht="15" hidden="false" customHeight="false" outlineLevel="0" collapsed="false">
      <c r="A97" s="13" t="s">
        <v>225</v>
      </c>
      <c r="B97" s="13" t="s">
        <v>114</v>
      </c>
      <c r="C97" s="13" t="s">
        <v>123</v>
      </c>
      <c r="D97" s="15" t="n">
        <v>0.16109</v>
      </c>
      <c r="E97" s="13" t="n">
        <v>0.95617</v>
      </c>
      <c r="F97" s="16" t="n">
        <f aca="false">IF(H97=1,"",D97/E97)</f>
        <v>0.168474225294665</v>
      </c>
      <c r="G97" s="17" t="n">
        <f aca="false">IF(H97=1,"",D97/E97*Notas!$B$3)</f>
        <v>16.0050514029932</v>
      </c>
      <c r="H97" s="13" t="n">
        <v>0</v>
      </c>
      <c r="I97" s="17" t="n">
        <f aca="false">IF(H97=1,D97,G97)</f>
        <v>16.0050514029932</v>
      </c>
    </row>
    <row r="98" customFormat="false" ht="15" hidden="false" customHeight="false" outlineLevel="0" collapsed="false">
      <c r="A98" s="13" t="s">
        <v>225</v>
      </c>
      <c r="B98" s="13" t="s">
        <v>114</v>
      </c>
      <c r="C98" s="13" t="s">
        <v>124</v>
      </c>
      <c r="D98" s="15" t="n">
        <v>0.77551</v>
      </c>
      <c r="E98" s="13" t="n">
        <v>0.95617</v>
      </c>
      <c r="F98" s="16" t="n">
        <f aca="false">IF(H98=1,"",D98/E98)</f>
        <v>0.811058702950312</v>
      </c>
      <c r="G98" s="17" t="n">
        <f aca="false">IF(H98=1,"",D98/E98*Notas!$B$3)</f>
        <v>77.0505767802797</v>
      </c>
      <c r="H98" s="13" t="n">
        <v>0</v>
      </c>
      <c r="I98" s="17" t="n">
        <f aca="false">IF(H98=1,D98,G98)</f>
        <v>77.0505767802797</v>
      </c>
    </row>
    <row r="99" customFormat="false" ht="15" hidden="false" customHeight="false" outlineLevel="0" collapsed="false">
      <c r="A99" s="13" t="s">
        <v>225</v>
      </c>
      <c r="B99" s="13" t="s">
        <v>114</v>
      </c>
      <c r="C99" s="13" t="s">
        <v>125</v>
      </c>
      <c r="D99" s="15" t="n">
        <v>0.30279</v>
      </c>
      <c r="E99" s="13" t="n">
        <v>0.95617</v>
      </c>
      <c r="F99" s="16" t="n">
        <f aca="false">IF(H99=1,"",D99/E99)</f>
        <v>0.316669629877532</v>
      </c>
      <c r="G99" s="17" t="n">
        <f aca="false">IF(H99=1,"",D99/E99*Notas!$B$3)</f>
        <v>30.0836148383656</v>
      </c>
      <c r="H99" s="13" t="n">
        <v>0</v>
      </c>
      <c r="I99" s="17" t="n">
        <f aca="false">IF(H99=1,D99,G99)</f>
        <v>30.0836148383656</v>
      </c>
    </row>
    <row r="100" customFormat="false" ht="15" hidden="false" customHeight="false" outlineLevel="0" collapsed="false">
      <c r="A100" s="13" t="s">
        <v>225</v>
      </c>
      <c r="B100" s="13" t="s">
        <v>114</v>
      </c>
      <c r="C100" s="13" t="s">
        <v>126</v>
      </c>
      <c r="D100" s="15" t="n">
        <v>1</v>
      </c>
      <c r="E100" s="13" t="n">
        <v>0.95617</v>
      </c>
      <c r="F100" s="16" t="str">
        <f aca="false">IF(H100=1,"",D100/E100)</f>
        <v/>
      </c>
      <c r="G100" s="17" t="str">
        <f aca="false">IF(H100=1,"",D100/E100*Notas!$B$3)</f>
        <v/>
      </c>
      <c r="H100" s="13" t="n">
        <v>1</v>
      </c>
      <c r="I100" s="17" t="n">
        <f aca="false">IF(H100=1,D100,G100)</f>
        <v>1</v>
      </c>
    </row>
    <row r="101" customFormat="false" ht="15" hidden="false" customHeight="false" outlineLevel="0" collapsed="false">
      <c r="A101" s="13" t="s">
        <v>225</v>
      </c>
      <c r="B101" s="13" t="s">
        <v>114</v>
      </c>
      <c r="C101" s="13" t="s">
        <v>127</v>
      </c>
      <c r="D101" s="15" t="n">
        <v>0.24977</v>
      </c>
      <c r="E101" s="13" t="n">
        <v>0.95617</v>
      </c>
      <c r="F101" s="16" t="n">
        <f aca="false">IF(H101=1,"",D101/E101)</f>
        <v>0.261219239256618</v>
      </c>
      <c r="G101" s="17" t="n">
        <f aca="false">IF(H101=1,"",D101/E101*Notas!$B$3)</f>
        <v>24.8158277293787</v>
      </c>
      <c r="H101" s="13" t="n">
        <v>0</v>
      </c>
      <c r="I101" s="17" t="n">
        <f aca="false">IF(H101=1,D101,G101)</f>
        <v>24.8158277293787</v>
      </c>
    </row>
    <row r="102" customFormat="false" ht="15" hidden="false" customHeight="false" outlineLevel="0" collapsed="false">
      <c r="A102" s="13" t="s">
        <v>225</v>
      </c>
      <c r="B102" s="13" t="s">
        <v>114</v>
      </c>
      <c r="C102" s="13" t="s">
        <v>128</v>
      </c>
      <c r="D102" s="15" t="n">
        <v>0.32039</v>
      </c>
      <c r="E102" s="13" t="n">
        <v>0.95617</v>
      </c>
      <c r="F102" s="16" t="n">
        <f aca="false">IF(H102=1,"",D102/E102)</f>
        <v>0.335076398548375</v>
      </c>
      <c r="G102" s="17" t="n">
        <f aca="false">IF(H102=1,"",D102/E102*Notas!$B$3)</f>
        <v>31.8322578620957</v>
      </c>
      <c r="H102" s="13" t="n">
        <v>0</v>
      </c>
      <c r="I102" s="17" t="n">
        <f aca="false">IF(H102=1,D102,G102)</f>
        <v>31.8322578620957</v>
      </c>
    </row>
    <row r="103" customFormat="false" ht="15" hidden="false" customHeight="false" outlineLevel="0" collapsed="false">
      <c r="A103" s="13" t="s">
        <v>225</v>
      </c>
      <c r="B103" s="13" t="s">
        <v>114</v>
      </c>
      <c r="C103" s="13" t="s">
        <v>129</v>
      </c>
      <c r="D103" s="15" t="n">
        <v>0.17479</v>
      </c>
      <c r="E103" s="13" t="n">
        <v>0.95617</v>
      </c>
      <c r="F103" s="16" t="n">
        <f aca="false">IF(H103=1,"",D103/E103)</f>
        <v>0.18280222136231</v>
      </c>
      <c r="G103" s="17" t="n">
        <f aca="false">IF(H103=1,"",D103/E103*Notas!$B$3)</f>
        <v>17.3662110294195</v>
      </c>
      <c r="H103" s="13" t="n">
        <v>0</v>
      </c>
      <c r="I103" s="17" t="n">
        <f aca="false">IF(H103=1,D103,G103)</f>
        <v>17.3662110294195</v>
      </c>
    </row>
    <row r="104" customFormat="false" ht="15" hidden="false" customHeight="false" outlineLevel="0" collapsed="false">
      <c r="A104" s="13" t="s">
        <v>225</v>
      </c>
      <c r="B104" s="13" t="s">
        <v>114</v>
      </c>
      <c r="C104" s="13" t="s">
        <v>130</v>
      </c>
      <c r="D104" s="15" t="n">
        <v>0.82976</v>
      </c>
      <c r="E104" s="13" t="n">
        <v>0.95617</v>
      </c>
      <c r="F104" s="16" t="n">
        <f aca="false">IF(H104=1,"",D104/E104)</f>
        <v>0.867795475699928</v>
      </c>
      <c r="G104" s="17" t="n">
        <f aca="false">IF(H104=1,"",D104/E104*Notas!$B$3)</f>
        <v>82.4405701914932</v>
      </c>
      <c r="H104" s="13" t="n">
        <v>0</v>
      </c>
      <c r="I104" s="17" t="n">
        <f aca="false">IF(H104=1,D104,G104)</f>
        <v>82.4405701914932</v>
      </c>
    </row>
    <row r="105" customFormat="false" ht="15" hidden="false" customHeight="false" outlineLevel="0" collapsed="false">
      <c r="A105" s="13" t="s">
        <v>225</v>
      </c>
      <c r="B105" s="13" t="s">
        <v>114</v>
      </c>
      <c r="C105" s="13" t="s">
        <v>131</v>
      </c>
      <c r="D105" s="15" t="n">
        <v>0.32039</v>
      </c>
      <c r="E105" s="13" t="n">
        <v>0.95617</v>
      </c>
      <c r="F105" s="16" t="n">
        <f aca="false">IF(H105=1,"",D105/E105)</f>
        <v>0.335076398548375</v>
      </c>
      <c r="G105" s="17" t="n">
        <f aca="false">IF(H105=1,"",D105/E105*Notas!$B$3)</f>
        <v>31.8322578620957</v>
      </c>
      <c r="H105" s="13" t="n">
        <v>0</v>
      </c>
      <c r="I105" s="17" t="n">
        <f aca="false">IF(H105=1,D105,G105)</f>
        <v>31.8322578620957</v>
      </c>
    </row>
    <row r="106" customFormat="false" ht="15" hidden="false" customHeight="false" outlineLevel="0" collapsed="false">
      <c r="A106" s="13" t="s">
        <v>225</v>
      </c>
      <c r="B106" s="13" t="s">
        <v>114</v>
      </c>
      <c r="C106" s="13" t="s">
        <v>132</v>
      </c>
      <c r="D106" s="15" t="n">
        <v>1</v>
      </c>
      <c r="E106" s="13" t="n">
        <v>0.95617</v>
      </c>
      <c r="F106" s="16" t="str">
        <f aca="false">IF(H106=1,"",D106/E106)</f>
        <v/>
      </c>
      <c r="G106" s="17" t="str">
        <f aca="false">IF(H106=1,"",D106/E106*Notas!$B$3)</f>
        <v/>
      </c>
      <c r="H106" s="13" t="n">
        <v>1</v>
      </c>
      <c r="I106" s="17" t="n">
        <f aca="false">IF(H106=1,D106,G106)</f>
        <v>1</v>
      </c>
    </row>
    <row r="107" customFormat="false" ht="15" hidden="false" customHeight="false" outlineLevel="0" collapsed="false">
      <c r="A107" s="13" t="s">
        <v>225</v>
      </c>
      <c r="B107" s="13" t="s">
        <v>114</v>
      </c>
      <c r="C107" s="13" t="s">
        <v>133</v>
      </c>
      <c r="D107" s="15" t="n">
        <v>0.52589</v>
      </c>
      <c r="E107" s="13" t="n">
        <v>0.95617</v>
      </c>
      <c r="F107" s="16" t="n">
        <f aca="false">IF(H107=1,"",D107/E107)</f>
        <v>0.549996339563048</v>
      </c>
      <c r="G107" s="17" t="n">
        <f aca="false">IF(H107=1,"",D107/E107*Notas!$B$3)</f>
        <v>52.2496522584896</v>
      </c>
      <c r="H107" s="13" t="n">
        <v>0</v>
      </c>
      <c r="I107" s="17" t="n">
        <f aca="false">IF(H107=1,D107,G107)</f>
        <v>52.2496522584896</v>
      </c>
    </row>
    <row r="108" customFormat="false" ht="15" hidden="false" customHeight="false" outlineLevel="0" collapsed="false">
      <c r="A108" s="13" t="s">
        <v>225</v>
      </c>
      <c r="B108" s="13" t="s">
        <v>114</v>
      </c>
      <c r="C108" s="13" t="s">
        <v>134</v>
      </c>
      <c r="D108" s="15" t="n">
        <v>0.24179</v>
      </c>
      <c r="E108" s="13" t="n">
        <v>0.95617</v>
      </c>
      <c r="F108" s="16" t="n">
        <f aca="false">IF(H108=1,"",D108/E108)</f>
        <v>0.252873443006997</v>
      </c>
      <c r="G108" s="17" t="n">
        <f aca="false">IF(H108=1,"",D108/E108*Notas!$B$3)</f>
        <v>24.0229770856647</v>
      </c>
      <c r="H108" s="13" t="n">
        <v>0</v>
      </c>
      <c r="I108" s="17" t="n">
        <f aca="false">IF(H108=1,D108,G108)</f>
        <v>24.0229770856647</v>
      </c>
    </row>
    <row r="109" customFormat="false" ht="15" hidden="false" customHeight="false" outlineLevel="0" collapsed="false">
      <c r="A109" s="13" t="s">
        <v>225</v>
      </c>
      <c r="B109" s="13" t="s">
        <v>114</v>
      </c>
      <c r="C109" s="13" t="s">
        <v>135</v>
      </c>
      <c r="D109" s="15" t="n">
        <v>0.13097</v>
      </c>
      <c r="E109" s="13" t="n">
        <v>0.95617</v>
      </c>
      <c r="F109" s="16" t="n">
        <f aca="false">IF(H109=1,"",D109/E109)</f>
        <v>0.136973550728427</v>
      </c>
      <c r="G109" s="17" t="n">
        <f aca="false">IF(H109=1,"",D109/E109*Notas!$B$3)</f>
        <v>13.0124873192006</v>
      </c>
      <c r="H109" s="13" t="n">
        <v>0</v>
      </c>
      <c r="I109" s="17" t="n">
        <f aca="false">IF(H109=1,D109,G109)</f>
        <v>13.0124873192006</v>
      </c>
    </row>
    <row r="110" customFormat="false" ht="15" hidden="false" customHeight="false" outlineLevel="0" collapsed="false">
      <c r="A110" s="13" t="s">
        <v>225</v>
      </c>
      <c r="B110" s="13" t="s">
        <v>114</v>
      </c>
      <c r="C110" s="13" t="s">
        <v>136</v>
      </c>
      <c r="D110" s="15" t="n">
        <v>0.71804</v>
      </c>
      <c r="E110" s="13" t="n">
        <v>0.95617</v>
      </c>
      <c r="F110" s="16" t="n">
        <f aca="false">IF(H110=1,"",D110/E110)</f>
        <v>0.750954328205236</v>
      </c>
      <c r="G110" s="17" t="n">
        <f aca="false">IF(H110=1,"",D110/E110*Notas!$B$3)</f>
        <v>71.3406611794974</v>
      </c>
      <c r="H110" s="13" t="n">
        <v>0</v>
      </c>
      <c r="I110" s="17" t="n">
        <f aca="false">IF(H110=1,D110,G110)</f>
        <v>71.3406611794974</v>
      </c>
    </row>
    <row r="111" customFormat="false" ht="15" hidden="false" customHeight="false" outlineLevel="0" collapsed="false">
      <c r="A111" s="13" t="s">
        <v>225</v>
      </c>
      <c r="B111" s="13" t="s">
        <v>114</v>
      </c>
      <c r="C111" s="13" t="s">
        <v>137</v>
      </c>
      <c r="D111" s="15" t="n">
        <v>0.60864</v>
      </c>
      <c r="E111" s="13" t="n">
        <v>0.95617</v>
      </c>
      <c r="F111" s="16" t="n">
        <f aca="false">IF(H111=1,"",D111/E111)</f>
        <v>0.636539527489882</v>
      </c>
      <c r="G111" s="17" t="n">
        <f aca="false">IF(H111=1,"",D111/E111*Notas!$B$3)</f>
        <v>60.4712551115387</v>
      </c>
      <c r="H111" s="13" t="n">
        <v>0</v>
      </c>
      <c r="I111" s="17" t="n">
        <f aca="false">IF(H111=1,D111,G111)</f>
        <v>60.4712551115387</v>
      </c>
    </row>
    <row r="112" customFormat="false" ht="15" hidden="false" customHeight="false" outlineLevel="0" collapsed="false">
      <c r="A112" s="13" t="s">
        <v>225</v>
      </c>
      <c r="B112" s="13" t="s">
        <v>114</v>
      </c>
      <c r="C112" s="13" t="s">
        <v>138</v>
      </c>
      <c r="D112" s="15" t="n">
        <v>5</v>
      </c>
      <c r="E112" s="13" t="n">
        <v>0.95617</v>
      </c>
      <c r="F112" s="16" t="str">
        <f aca="false">IF(H112=1,"",D112/E112)</f>
        <v/>
      </c>
      <c r="G112" s="17" t="str">
        <f aca="false">IF(H112=1,"",D112/E112*Notas!$B$3)</f>
        <v/>
      </c>
      <c r="H112" s="13" t="n">
        <v>1</v>
      </c>
      <c r="I112" s="17" t="n">
        <f aca="false">IF(H112=1,D112,G112)</f>
        <v>5</v>
      </c>
    </row>
    <row r="113" customFormat="false" ht="15" hidden="false" customHeight="false" outlineLevel="0" collapsed="false">
      <c r="A113" s="13" t="s">
        <v>225</v>
      </c>
      <c r="B113" s="13" t="s">
        <v>139</v>
      </c>
      <c r="C113" s="13" t="s">
        <v>140</v>
      </c>
      <c r="D113" s="15" t="n">
        <v>0.13466</v>
      </c>
      <c r="E113" s="13" t="n">
        <v>0.95617</v>
      </c>
      <c r="F113" s="16" t="n">
        <f aca="false">IF(H113=1,"",D113/E113)</f>
        <v>0.14083269711453</v>
      </c>
      <c r="G113" s="17" t="n">
        <f aca="false">IF(H113=1,"",D113/E113*Notas!$B$3)</f>
        <v>13.3791062258803</v>
      </c>
      <c r="H113" s="13" t="n">
        <v>0</v>
      </c>
      <c r="I113" s="17" t="n">
        <f aca="false">IF(H113=1,D113,G113)</f>
        <v>13.3791062258803</v>
      </c>
    </row>
    <row r="114" customFormat="false" ht="15" hidden="false" customHeight="false" outlineLevel="0" collapsed="false">
      <c r="A114" s="13" t="s">
        <v>225</v>
      </c>
      <c r="B114" s="13" t="s">
        <v>139</v>
      </c>
      <c r="C114" s="13" t="s">
        <v>141</v>
      </c>
      <c r="D114" s="15" t="n">
        <v>0.10713</v>
      </c>
      <c r="E114" s="13" t="n">
        <v>0.95617</v>
      </c>
      <c r="F114" s="16" t="n">
        <f aca="false">IF(H114=1,"",D114/E114)</f>
        <v>0.112040745892467</v>
      </c>
      <c r="G114" s="17" t="n">
        <f aca="false">IF(H114=1,"",D114/E114*Notas!$B$3)</f>
        <v>10.6438708597843</v>
      </c>
      <c r="H114" s="13" t="n">
        <v>0</v>
      </c>
      <c r="I114" s="17" t="n">
        <f aca="false">IF(H114=1,D114,G114)</f>
        <v>10.6438708597843</v>
      </c>
    </row>
    <row r="115" customFormat="false" ht="15" hidden="false" customHeight="false" outlineLevel="0" collapsed="false">
      <c r="A115" s="13" t="s">
        <v>225</v>
      </c>
      <c r="B115" s="13" t="s">
        <v>139</v>
      </c>
      <c r="C115" s="13" t="s">
        <v>142</v>
      </c>
      <c r="D115" s="15" t="n">
        <v>0.02611</v>
      </c>
      <c r="E115" s="13" t="n">
        <v>0.95617</v>
      </c>
      <c r="F115" s="16" t="n">
        <f aca="false">IF(H115=1,"",D115/E115)</f>
        <v>0.0273068596588473</v>
      </c>
      <c r="G115" s="17" t="n">
        <f aca="false">IF(H115=1,"",D115/E115*Notas!$B$3)</f>
        <v>2.59415166759049</v>
      </c>
      <c r="H115" s="13" t="n">
        <v>0</v>
      </c>
      <c r="I115" s="17" t="n">
        <f aca="false">IF(H115=1,D115,G115)</f>
        <v>2.59415166759049</v>
      </c>
    </row>
    <row r="116" customFormat="false" ht="15" hidden="false" customHeight="false" outlineLevel="0" collapsed="false">
      <c r="A116" s="13" t="s">
        <v>225</v>
      </c>
      <c r="B116" s="13" t="s">
        <v>143</v>
      </c>
      <c r="C116" s="13" t="s">
        <v>144</v>
      </c>
      <c r="D116" s="15" t="n">
        <v>0.43933</v>
      </c>
      <c r="E116" s="13" t="n">
        <v>0.95617</v>
      </c>
      <c r="F116" s="16" t="n">
        <f aca="false">IF(H116=1,"",D116/E116)</f>
        <v>0.459468504554629</v>
      </c>
      <c r="G116" s="17" t="n">
        <f aca="false">IF(H116=1,"",D116/E116*Notas!$B$3)</f>
        <v>43.6495079326898</v>
      </c>
      <c r="H116" s="13" t="n">
        <v>0</v>
      </c>
      <c r="I116" s="17" t="n">
        <f aca="false">IF(H116=1,D116,G116)</f>
        <v>43.6495079326898</v>
      </c>
    </row>
    <row r="117" customFormat="false" ht="15" hidden="false" customHeight="false" outlineLevel="0" collapsed="false">
      <c r="A117" s="13" t="s">
        <v>225</v>
      </c>
      <c r="B117" s="13" t="s">
        <v>143</v>
      </c>
      <c r="C117" s="13" t="s">
        <v>145</v>
      </c>
      <c r="D117" s="15" t="n">
        <v>0.30467</v>
      </c>
      <c r="E117" s="13" t="n">
        <v>0.95617</v>
      </c>
      <c r="F117" s="16" t="n">
        <f aca="false">IF(H117=1,"",D117/E117)</f>
        <v>0.3186358074401</v>
      </c>
      <c r="G117" s="17" t="n">
        <f aca="false">IF(H117=1,"",D117/E117*Notas!$B$3)</f>
        <v>30.2704017068095</v>
      </c>
      <c r="H117" s="13" t="n">
        <v>0</v>
      </c>
      <c r="I117" s="17" t="n">
        <f aca="false">IF(H117=1,D117,G117)</f>
        <v>30.2704017068095</v>
      </c>
    </row>
    <row r="118" customFormat="false" ht="15" hidden="false" customHeight="false" outlineLevel="0" collapsed="false">
      <c r="A118" s="13" t="s">
        <v>225</v>
      </c>
      <c r="B118" s="13" t="s">
        <v>143</v>
      </c>
      <c r="C118" s="13" t="s">
        <v>146</v>
      </c>
      <c r="D118" s="15" t="n">
        <v>0.29616</v>
      </c>
      <c r="E118" s="13" t="n">
        <v>0.95617</v>
      </c>
      <c r="F118" s="16" t="n">
        <f aca="false">IF(H118=1,"",D118/E118)</f>
        <v>0.309735716452095</v>
      </c>
      <c r="G118" s="17" t="n">
        <f aca="false">IF(H118=1,"",D118/E118*Notas!$B$3)</f>
        <v>29.4248930629491</v>
      </c>
      <c r="H118" s="13" t="n">
        <v>0</v>
      </c>
      <c r="I118" s="17" t="n">
        <f aca="false">IF(H118=1,D118,G118)</f>
        <v>29.4248930629491</v>
      </c>
    </row>
    <row r="119" customFormat="false" ht="15" hidden="false" customHeight="false" outlineLevel="0" collapsed="false">
      <c r="A119" s="13" t="s">
        <v>225</v>
      </c>
      <c r="B119" s="13" t="s">
        <v>143</v>
      </c>
      <c r="C119" s="13" t="s">
        <v>147</v>
      </c>
      <c r="D119" s="15" t="n">
        <v>0.1615</v>
      </c>
      <c r="E119" s="13" t="n">
        <v>0.95617</v>
      </c>
      <c r="F119" s="16" t="n">
        <f aca="false">IF(H119=1,"",D119/E119)</f>
        <v>0.168903019337566</v>
      </c>
      <c r="G119" s="17" t="n">
        <f aca="false">IF(H119=1,"",D119/E119*Notas!$B$3)</f>
        <v>16.0457868370687</v>
      </c>
      <c r="H119" s="13" t="n">
        <v>0</v>
      </c>
      <c r="I119" s="17" t="n">
        <f aca="false">IF(H119=1,D119,G119)</f>
        <v>16.0457868370687</v>
      </c>
    </row>
    <row r="120" customFormat="false" ht="15" hidden="false" customHeight="false" outlineLevel="0" collapsed="false">
      <c r="A120" s="13" t="s">
        <v>225</v>
      </c>
      <c r="B120" s="13" t="s">
        <v>143</v>
      </c>
      <c r="C120" s="13" t="s">
        <v>148</v>
      </c>
      <c r="D120" s="15" t="n">
        <v>0.12948</v>
      </c>
      <c r="E120" s="13" t="n">
        <v>0.95617</v>
      </c>
      <c r="F120" s="16" t="n">
        <f aca="false">IF(H120=1,"",D120/E120)</f>
        <v>0.135415250426179</v>
      </c>
      <c r="G120" s="17" t="n">
        <f aca="false">IF(H120=1,"",D120/E120*Notas!$B$3)</f>
        <v>12.8644487904871</v>
      </c>
      <c r="H120" s="13" t="n">
        <v>0</v>
      </c>
      <c r="I120" s="17" t="n">
        <f aca="false">IF(H120=1,D120,G120)</f>
        <v>12.8644487904871</v>
      </c>
    </row>
    <row r="121" customFormat="false" ht="15" hidden="false" customHeight="false" outlineLevel="0" collapsed="false">
      <c r="A121" s="13" t="s">
        <v>225</v>
      </c>
      <c r="B121" s="13" t="s">
        <v>143</v>
      </c>
      <c r="C121" s="13" t="s">
        <v>149</v>
      </c>
      <c r="D121" s="15" t="n">
        <v>0.11326</v>
      </c>
      <c r="E121" s="13" t="n">
        <v>0.95617</v>
      </c>
      <c r="F121" s="16" t="n">
        <f aca="false">IF(H121=1,"",D121/E121)</f>
        <v>0.118451739753391</v>
      </c>
      <c r="G121" s="17" t="n">
        <f aca="false">IF(H121=1,"",D121/E121*Notas!$B$3)</f>
        <v>11.2529152765722</v>
      </c>
      <c r="H121" s="13" t="n">
        <v>0</v>
      </c>
      <c r="I121" s="17" t="n">
        <f aca="false">IF(H121=1,D121,G121)</f>
        <v>11.2529152765722</v>
      </c>
    </row>
    <row r="122" customFormat="false" ht="15" hidden="false" customHeight="false" outlineLevel="0" collapsed="false">
      <c r="A122" s="13" t="s">
        <v>225</v>
      </c>
      <c r="B122" s="13" t="s">
        <v>143</v>
      </c>
      <c r="C122" s="13" t="s">
        <v>150</v>
      </c>
      <c r="D122" s="15" t="n">
        <v>0.46498</v>
      </c>
      <c r="E122" s="13" t="n">
        <v>0.95617</v>
      </c>
      <c r="F122" s="16" t="n">
        <f aca="false">IF(H122=1,"",D122/E122)</f>
        <v>0.486294278214125</v>
      </c>
      <c r="G122" s="17" t="n">
        <f aca="false">IF(H122=1,"",D122/E122*Notas!$B$3)</f>
        <v>46.1979564303419</v>
      </c>
      <c r="H122" s="13" t="n">
        <v>0</v>
      </c>
      <c r="I122" s="17" t="n">
        <f aca="false">IF(H122=1,D122,G122)</f>
        <v>46.1979564303419</v>
      </c>
    </row>
    <row r="123" customFormat="false" ht="15" hidden="false" customHeight="false" outlineLevel="0" collapsed="false">
      <c r="A123" s="13" t="s">
        <v>225</v>
      </c>
      <c r="B123" s="13" t="s">
        <v>143</v>
      </c>
      <c r="C123" s="13" t="s">
        <v>151</v>
      </c>
      <c r="D123" s="15" t="n">
        <v>0.52972</v>
      </c>
      <c r="E123" s="13" t="n">
        <v>0.95617</v>
      </c>
      <c r="F123" s="16" t="n">
        <f aca="false">IF(H123=1,"",D123/E123)</f>
        <v>0.554001903427215</v>
      </c>
      <c r="G123" s="17" t="n">
        <f aca="false">IF(H123=1,"",D123/E123*Notas!$B$3)</f>
        <v>52.6301808255854</v>
      </c>
      <c r="H123" s="13" t="n">
        <v>0</v>
      </c>
      <c r="I123" s="17" t="n">
        <f aca="false">IF(H123=1,D123,G123)</f>
        <v>52.6301808255854</v>
      </c>
    </row>
    <row r="124" customFormat="false" ht="15" hidden="false" customHeight="false" outlineLevel="0" collapsed="false">
      <c r="A124" s="13" t="s">
        <v>225</v>
      </c>
      <c r="B124" s="13" t="s">
        <v>143</v>
      </c>
      <c r="C124" s="13" t="s">
        <v>152</v>
      </c>
      <c r="D124" s="15" t="n">
        <v>0.40024</v>
      </c>
      <c r="E124" s="13" t="n">
        <v>0.95617</v>
      </c>
      <c r="F124" s="16" t="n">
        <f aca="false">IF(H124=1,"",D124/E124)</f>
        <v>0.418586653001035</v>
      </c>
      <c r="G124" s="17" t="n">
        <f aca="false">IF(H124=1,"",D124/E124*Notas!$B$3)</f>
        <v>39.7657320350984</v>
      </c>
      <c r="H124" s="13" t="n">
        <v>0</v>
      </c>
      <c r="I124" s="17" t="n">
        <f aca="false">IF(H124=1,D124,G124)</f>
        <v>39.7657320350984</v>
      </c>
    </row>
    <row r="125" customFormat="false" ht="15" hidden="false" customHeight="false" outlineLevel="0" collapsed="false">
      <c r="A125" s="13" t="s">
        <v>225</v>
      </c>
      <c r="B125" s="13" t="s">
        <v>143</v>
      </c>
      <c r="C125" s="13" t="s">
        <v>153</v>
      </c>
      <c r="D125" s="15" t="n">
        <v>0.11662</v>
      </c>
      <c r="E125" s="13" t="n">
        <v>0.95617</v>
      </c>
      <c r="F125" s="16" t="n">
        <f aca="false">IF(H125=1,"",D125/E125)</f>
        <v>0.121965759226916</v>
      </c>
      <c r="G125" s="17" t="n">
        <f aca="false">IF(H125=1,"",D125/E125*Notas!$B$3)</f>
        <v>11.586747126557</v>
      </c>
      <c r="H125" s="13" t="n">
        <v>0</v>
      </c>
      <c r="I125" s="17" t="n">
        <f aca="false">IF(H125=1,D125,G125)</f>
        <v>11.586747126557</v>
      </c>
    </row>
    <row r="126" customFormat="false" ht="15" hidden="false" customHeight="false" outlineLevel="0" collapsed="false">
      <c r="A126" s="13" t="s">
        <v>225</v>
      </c>
      <c r="B126" s="13" t="s">
        <v>143</v>
      </c>
      <c r="C126" s="13" t="s">
        <v>154</v>
      </c>
      <c r="D126" s="15" t="n">
        <v>0.09248</v>
      </c>
      <c r="E126" s="13" t="n">
        <v>0.95617</v>
      </c>
      <c r="F126" s="16" t="n">
        <f aca="false">IF(H126=1,"",D126/E126)</f>
        <v>0.096719202652248</v>
      </c>
      <c r="G126" s="17" t="n">
        <f aca="false">IF(H126=1,"",D126/E126*Notas!$B$3)</f>
        <v>9.18832425196356</v>
      </c>
      <c r="H126" s="13" t="n">
        <v>0</v>
      </c>
      <c r="I126" s="17" t="n">
        <f aca="false">IF(H126=1,D126,G126)</f>
        <v>9.18832425196356</v>
      </c>
    </row>
    <row r="127" customFormat="false" ht="15" hidden="false" customHeight="false" outlineLevel="0" collapsed="false">
      <c r="A127" s="13" t="s">
        <v>225</v>
      </c>
      <c r="B127" s="13" t="s">
        <v>143</v>
      </c>
      <c r="C127" s="13" t="s">
        <v>155</v>
      </c>
      <c r="D127" s="15" t="n">
        <v>0.34613</v>
      </c>
      <c r="E127" s="13" t="n">
        <v>0.95617</v>
      </c>
      <c r="F127" s="16" t="n">
        <f aca="false">IF(H127=1,"",D127/E127)</f>
        <v>0.361996297729483</v>
      </c>
      <c r="G127" s="17" t="n">
        <f aca="false">IF(H127=1,"",D127/E127*Notas!$B$3)</f>
        <v>34.3896482843009</v>
      </c>
      <c r="H127" s="13" t="n">
        <v>0</v>
      </c>
      <c r="I127" s="17" t="n">
        <f aca="false">IF(H127=1,D127,G127)</f>
        <v>34.3896482843009</v>
      </c>
    </row>
    <row r="128" customFormat="false" ht="15" hidden="false" customHeight="false" outlineLevel="0" collapsed="false">
      <c r="A128" s="13" t="s">
        <v>225</v>
      </c>
      <c r="B128" s="13" t="s">
        <v>143</v>
      </c>
      <c r="C128" s="13" t="s">
        <v>156</v>
      </c>
      <c r="D128" s="15" t="n">
        <v>0.08127</v>
      </c>
      <c r="E128" s="13" t="n">
        <v>0.95617</v>
      </c>
      <c r="F128" s="16" t="n">
        <f aca="false">IF(H128=1,"",D128/E128)</f>
        <v>0.0849953460158758</v>
      </c>
      <c r="G128" s="17" t="n">
        <f aca="false">IF(H128=1,"",D128/E128*Notas!$B$3)</f>
        <v>8.07455787150821</v>
      </c>
      <c r="H128" s="13" t="n">
        <v>0</v>
      </c>
      <c r="I128" s="17" t="n">
        <f aca="false">IF(H128=1,D128,G128)</f>
        <v>8.07455787150821</v>
      </c>
    </row>
    <row r="129" customFormat="false" ht="15" hidden="false" customHeight="false" outlineLevel="0" collapsed="false">
      <c r="A129" s="13" t="s">
        <v>225</v>
      </c>
      <c r="B129" s="13" t="s">
        <v>143</v>
      </c>
      <c r="C129" s="13" t="s">
        <v>157</v>
      </c>
      <c r="D129" s="15" t="n">
        <v>0.07413</v>
      </c>
      <c r="E129" s="13" t="n">
        <v>0.95617</v>
      </c>
      <c r="F129" s="16" t="n">
        <f aca="false">IF(H129=1,"",D129/E129)</f>
        <v>0.0775280546346361</v>
      </c>
      <c r="G129" s="17" t="n">
        <f aca="false">IF(H129=1,"",D129/E129*Notas!$B$3)</f>
        <v>7.36516519029043</v>
      </c>
      <c r="H129" s="13" t="n">
        <v>0</v>
      </c>
      <c r="I129" s="17" t="n">
        <f aca="false">IF(H129=1,D129,G129)</f>
        <v>7.36516519029043</v>
      </c>
    </row>
    <row r="130" customFormat="false" ht="15" hidden="false" customHeight="false" outlineLevel="0" collapsed="false">
      <c r="A130" s="13" t="s">
        <v>225</v>
      </c>
      <c r="B130" s="13" t="s">
        <v>143</v>
      </c>
      <c r="C130" s="13" t="s">
        <v>158</v>
      </c>
      <c r="D130" s="15" t="n">
        <v>0.25375</v>
      </c>
      <c r="E130" s="13" t="n">
        <v>0.95617</v>
      </c>
      <c r="F130" s="16" t="n">
        <f aca="false">IF(H130=1,"",D130/E130)</f>
        <v>0.265381678990138</v>
      </c>
      <c r="G130" s="17" t="n">
        <f aca="false">IF(H130=1,"",D130/E130*Notas!$B$3)</f>
        <v>25.2112595040631</v>
      </c>
      <c r="H130" s="13" t="n">
        <v>0</v>
      </c>
      <c r="I130" s="17" t="n">
        <f aca="false">IF(H130=1,D130,G130)</f>
        <v>25.2112595040631</v>
      </c>
    </row>
    <row r="131" customFormat="false" ht="15" hidden="false" customHeight="false" outlineLevel="0" collapsed="false">
      <c r="A131" s="13" t="s">
        <v>225</v>
      </c>
      <c r="B131" s="13" t="s">
        <v>143</v>
      </c>
      <c r="C131" s="13" t="s">
        <v>159</v>
      </c>
      <c r="D131" s="15" t="n">
        <v>0.9953</v>
      </c>
      <c r="E131" s="13" t="n">
        <v>0.95617</v>
      </c>
      <c r="F131" s="16" t="n">
        <f aca="false">IF(H131=1,"",D131/E131)</f>
        <v>1.04092368511876</v>
      </c>
      <c r="G131" s="17" t="n">
        <f aca="false">IF(H131=1,"",D131/E131*Notas!$B$3)</f>
        <v>98.8877500862817</v>
      </c>
      <c r="H131" s="13" t="n">
        <v>0</v>
      </c>
      <c r="I131" s="17" t="n">
        <f aca="false">IF(H131=1,D131,G131)</f>
        <v>98.8877500862817</v>
      </c>
    </row>
    <row r="132" customFormat="false" ht="15" hidden="false" customHeight="false" outlineLevel="0" collapsed="false">
      <c r="A132" s="13" t="s">
        <v>225</v>
      </c>
      <c r="B132" s="13" t="s">
        <v>139</v>
      </c>
      <c r="C132" s="13" t="s">
        <v>160</v>
      </c>
      <c r="D132" s="15" t="n">
        <v>0.13548</v>
      </c>
      <c r="E132" s="13" t="n">
        <v>0.95617</v>
      </c>
      <c r="F132" s="16" t="n">
        <f aca="false">IF(H132=1,"",D132/E132)</f>
        <v>0.14169028520033</v>
      </c>
      <c r="G132" s="17" t="n">
        <f aca="false">IF(H132=1,"",D132/E132*Notas!$B$3)</f>
        <v>13.4605770940314</v>
      </c>
      <c r="H132" s="13" t="n">
        <v>0</v>
      </c>
      <c r="I132" s="17" t="n">
        <f aca="false">IF(H132=1,D132,G132)</f>
        <v>13.4605770940314</v>
      </c>
    </row>
    <row r="133" customFormat="false" ht="15" hidden="false" customHeight="false" outlineLevel="0" collapsed="false">
      <c r="A133" s="13" t="s">
        <v>225</v>
      </c>
      <c r="B133" s="13" t="s">
        <v>139</v>
      </c>
      <c r="C133" s="13" t="s">
        <v>161</v>
      </c>
      <c r="D133" s="15" t="n">
        <v>0.10509</v>
      </c>
      <c r="E133" s="13" t="n">
        <v>0.95617</v>
      </c>
      <c r="F133" s="16" t="n">
        <f aca="false">IF(H133=1,"",D133/E133)</f>
        <v>0.109907234069255</v>
      </c>
      <c r="G133" s="17" t="n">
        <f aca="false">IF(H133=1,"",D133/E133*Notas!$B$3)</f>
        <v>10.4411872365793</v>
      </c>
      <c r="H133" s="13" t="n">
        <v>0</v>
      </c>
      <c r="I133" s="17" t="n">
        <f aca="false">IF(H133=1,D133,G133)</f>
        <v>10.4411872365793</v>
      </c>
    </row>
    <row r="134" customFormat="false" ht="15" hidden="false" customHeight="false" outlineLevel="0" collapsed="false">
      <c r="A134" s="13" t="s">
        <v>225</v>
      </c>
      <c r="B134" s="13" t="s">
        <v>139</v>
      </c>
      <c r="C134" s="13" t="s">
        <v>162</v>
      </c>
      <c r="D134" s="15" t="n">
        <v>0.02675</v>
      </c>
      <c r="E134" s="13" t="n">
        <v>0.95617</v>
      </c>
      <c r="F134" s="16" t="n">
        <f aca="false">IF(H134=1,"",D134/E134)</f>
        <v>0.0279761967014234</v>
      </c>
      <c r="G134" s="17" t="n">
        <f aca="false">IF(H134=1,"",D134/E134*Notas!$B$3)</f>
        <v>2.65773868663522</v>
      </c>
      <c r="H134" s="13" t="n">
        <v>0</v>
      </c>
      <c r="I134" s="17" t="n">
        <f aca="false">IF(H134=1,D134,G134)</f>
        <v>2.65773868663522</v>
      </c>
    </row>
    <row r="135" customFormat="false" ht="15" hidden="false" customHeight="false" outlineLevel="0" collapsed="false">
      <c r="A135" s="13" t="s">
        <v>225</v>
      </c>
      <c r="B135" s="13" t="s">
        <v>143</v>
      </c>
      <c r="C135" s="13" t="s">
        <v>163</v>
      </c>
      <c r="D135" s="15" t="n">
        <v>0.44149</v>
      </c>
      <c r="E135" s="13" t="n">
        <v>0.95617</v>
      </c>
      <c r="F135" s="16" t="n">
        <f aca="false">IF(H135=1,"",D135/E135)</f>
        <v>0.461727517073324</v>
      </c>
      <c r="G135" s="17" t="n">
        <f aca="false">IF(H135=1,"",D135/E135*Notas!$B$3)</f>
        <v>43.8641141219658</v>
      </c>
      <c r="H135" s="13" t="n">
        <v>0</v>
      </c>
      <c r="I135" s="17" t="n">
        <f aca="false">IF(H135=1,D135,G135)</f>
        <v>43.8641141219658</v>
      </c>
    </row>
    <row r="136" customFormat="false" ht="15" hidden="false" customHeight="false" outlineLevel="0" collapsed="false">
      <c r="A136" s="13" t="s">
        <v>225</v>
      </c>
      <c r="B136" s="13" t="s">
        <v>143</v>
      </c>
      <c r="C136" s="13" t="s">
        <v>164</v>
      </c>
      <c r="D136" s="15" t="n">
        <v>0.30601</v>
      </c>
      <c r="E136" s="13" t="n">
        <v>0.95617</v>
      </c>
      <c r="F136" s="16" t="n">
        <f aca="false">IF(H136=1,"",D136/E136)</f>
        <v>0.320037231872993</v>
      </c>
      <c r="G136" s="17" t="n">
        <f aca="false">IF(H136=1,"",D136/E136*Notas!$B$3)</f>
        <v>30.4035370279344</v>
      </c>
      <c r="H136" s="13" t="n">
        <v>0</v>
      </c>
      <c r="I136" s="17" t="n">
        <f aca="false">IF(H136=1,D136,G136)</f>
        <v>30.4035370279344</v>
      </c>
    </row>
    <row r="137" customFormat="false" ht="15" hidden="false" customHeight="false" outlineLevel="0" collapsed="false">
      <c r="A137" s="13" t="s">
        <v>225</v>
      </c>
      <c r="B137" s="13" t="s">
        <v>143</v>
      </c>
      <c r="C137" s="13" t="s">
        <v>165</v>
      </c>
      <c r="D137" s="15" t="n">
        <v>0.29832</v>
      </c>
      <c r="E137" s="13" t="n">
        <v>0.95617</v>
      </c>
      <c r="F137" s="16" t="n">
        <f aca="false">IF(H137=1,"",D137/E137)</f>
        <v>0.31199472897079</v>
      </c>
      <c r="G137" s="17" t="n">
        <f aca="false">IF(H137=1,"",D137/E137*Notas!$B$3)</f>
        <v>29.639499252225</v>
      </c>
      <c r="H137" s="13" t="n">
        <v>0</v>
      </c>
      <c r="I137" s="17" t="n">
        <f aca="false">IF(H137=1,D137,G137)</f>
        <v>29.639499252225</v>
      </c>
    </row>
    <row r="138" customFormat="false" ht="15" hidden="false" customHeight="false" outlineLevel="0" collapsed="false">
      <c r="A138" s="13" t="s">
        <v>225</v>
      </c>
      <c r="B138" s="13" t="s">
        <v>143</v>
      </c>
      <c r="C138" s="13" t="s">
        <v>166</v>
      </c>
      <c r="D138" s="15" t="n">
        <v>0.16284</v>
      </c>
      <c r="E138" s="13" t="n">
        <v>0.95617</v>
      </c>
      <c r="F138" s="16" t="n">
        <f aca="false">IF(H138=1,"",D138/E138)</f>
        <v>0.170304443770459</v>
      </c>
      <c r="G138" s="17" t="n">
        <f aca="false">IF(H138=1,"",D138/E138*Notas!$B$3)</f>
        <v>16.1789221581936</v>
      </c>
      <c r="H138" s="13" t="n">
        <v>0</v>
      </c>
      <c r="I138" s="17" t="n">
        <f aca="false">IF(H138=1,D138,G138)</f>
        <v>16.1789221581936</v>
      </c>
    </row>
    <row r="139" customFormat="false" ht="15" hidden="false" customHeight="false" outlineLevel="0" collapsed="false">
      <c r="A139" s="13" t="s">
        <v>225</v>
      </c>
      <c r="B139" s="13" t="s">
        <v>143</v>
      </c>
      <c r="C139" s="13" t="s">
        <v>167</v>
      </c>
      <c r="D139" s="15" t="n">
        <v>0.13124</v>
      </c>
      <c r="E139" s="13" t="n">
        <v>0.95617</v>
      </c>
      <c r="F139" s="16" t="n">
        <f aca="false">IF(H139=1,"",D139/E139)</f>
        <v>0.137255927293264</v>
      </c>
      <c r="G139" s="17" t="n">
        <f aca="false">IF(H139=1,"",D139/E139*Notas!$B$3)</f>
        <v>13.0393130928601</v>
      </c>
      <c r="H139" s="13" t="n">
        <v>0</v>
      </c>
      <c r="I139" s="17" t="n">
        <f aca="false">IF(H139=1,D139,G139)</f>
        <v>13.0393130928601</v>
      </c>
    </row>
    <row r="140" customFormat="false" ht="15" hidden="false" customHeight="false" outlineLevel="0" collapsed="false">
      <c r="A140" s="13" t="s">
        <v>225</v>
      </c>
      <c r="B140" s="13" t="s">
        <v>143</v>
      </c>
      <c r="C140" s="13" t="s">
        <v>168</v>
      </c>
      <c r="D140" s="15" t="n">
        <v>0.11133</v>
      </c>
      <c r="E140" s="13" t="n">
        <v>0.95617</v>
      </c>
      <c r="F140" s="16" t="n">
        <f aca="false">IF(H140=1,"",D140/E140)</f>
        <v>0.116433270234373</v>
      </c>
      <c r="G140" s="17" t="n">
        <f aca="false">IF(H140=1,"",D140/E140*Notas!$B$3)</f>
        <v>11.0611606722654</v>
      </c>
      <c r="H140" s="13" t="n">
        <v>0</v>
      </c>
      <c r="I140" s="17" t="n">
        <f aca="false">IF(H140=1,D140,G140)</f>
        <v>11.0611606722654</v>
      </c>
    </row>
    <row r="141" customFormat="false" ht="15" hidden="false" customHeight="false" outlineLevel="0" collapsed="false">
      <c r="A141" s="13" t="s">
        <v>225</v>
      </c>
      <c r="B141" s="13" t="s">
        <v>143</v>
      </c>
      <c r="C141" s="13" t="s">
        <v>169</v>
      </c>
      <c r="D141" s="15" t="n">
        <v>0.46346</v>
      </c>
      <c r="E141" s="13" t="n">
        <v>0.95617</v>
      </c>
      <c r="F141" s="16" t="n">
        <f aca="false">IF(H141=1,"",D141/E141)</f>
        <v>0.484704602738007</v>
      </c>
      <c r="G141" s="17" t="n">
        <f aca="false">IF(H141=1,"",D141/E141*Notas!$B$3)</f>
        <v>46.0469372601107</v>
      </c>
      <c r="H141" s="13" t="n">
        <v>0</v>
      </c>
      <c r="I141" s="17" t="n">
        <f aca="false">IF(H141=1,D141,G141)</f>
        <v>46.0469372601107</v>
      </c>
    </row>
    <row r="142" customFormat="false" ht="15" hidden="false" customHeight="false" outlineLevel="0" collapsed="false">
      <c r="A142" s="13" t="s">
        <v>225</v>
      </c>
      <c r="B142" s="13" t="s">
        <v>143</v>
      </c>
      <c r="C142" s="13" t="s">
        <v>170</v>
      </c>
      <c r="D142" s="15" t="n">
        <v>0.52908</v>
      </c>
      <c r="E142" s="13" t="n">
        <v>0.95617</v>
      </c>
      <c r="F142" s="16" t="n">
        <f aca="false">IF(H142=1,"",D142/E142)</f>
        <v>0.553332566384639</v>
      </c>
      <c r="G142" s="17" t="n">
        <f aca="false">IF(H142=1,"",D142/E142*Notas!$B$3)</f>
        <v>52.5665938065407</v>
      </c>
      <c r="H142" s="13" t="n">
        <v>0</v>
      </c>
      <c r="I142" s="17" t="n">
        <f aca="false">IF(H142=1,D142,G142)</f>
        <v>52.5665938065407</v>
      </c>
    </row>
    <row r="143" customFormat="false" ht="15" hidden="false" customHeight="false" outlineLevel="0" collapsed="false">
      <c r="A143" s="13" t="s">
        <v>225</v>
      </c>
      <c r="B143" s="13" t="s">
        <v>143</v>
      </c>
      <c r="C143" s="13" t="s">
        <v>171</v>
      </c>
      <c r="D143" s="15" t="n">
        <v>0.39784</v>
      </c>
      <c r="E143" s="13" t="n">
        <v>0.95617</v>
      </c>
      <c r="F143" s="16" t="n">
        <f aca="false">IF(H143=1,"",D143/E143)</f>
        <v>0.416076639091375</v>
      </c>
      <c r="G143" s="17" t="n">
        <f aca="false">IF(H143=1,"",D143/E143*Notas!$B$3)</f>
        <v>39.5272807136806</v>
      </c>
      <c r="H143" s="13" t="n">
        <v>0</v>
      </c>
      <c r="I143" s="17" t="n">
        <f aca="false">IF(H143=1,D143,G143)</f>
        <v>39.5272807136806</v>
      </c>
    </row>
    <row r="144" customFormat="false" ht="15" hidden="false" customHeight="false" outlineLevel="0" collapsed="false">
      <c r="A144" s="13" t="s">
        <v>225</v>
      </c>
      <c r="B144" s="13" t="s">
        <v>143</v>
      </c>
      <c r="C144" s="13" t="s">
        <v>172</v>
      </c>
      <c r="D144" s="15" t="n">
        <v>0.11941</v>
      </c>
      <c r="E144" s="13" t="n">
        <v>0.95617</v>
      </c>
      <c r="F144" s="16" t="n">
        <f aca="false">IF(H144=1,"",D144/E144)</f>
        <v>0.124883650396896</v>
      </c>
      <c r="G144" s="17" t="n">
        <f aca="false">IF(H144=1,"",D144/E144*Notas!$B$3)</f>
        <v>11.8639467877051</v>
      </c>
      <c r="H144" s="13" t="n">
        <v>0</v>
      </c>
      <c r="I144" s="17" t="n">
        <f aca="false">IF(H144=1,D144,G144)</f>
        <v>11.8639467877051</v>
      </c>
    </row>
    <row r="145" customFormat="false" ht="15" hidden="false" customHeight="false" outlineLevel="0" collapsed="false">
      <c r="A145" s="13" t="s">
        <v>225</v>
      </c>
      <c r="B145" s="13" t="s">
        <v>143</v>
      </c>
      <c r="C145" s="13" t="s">
        <v>173</v>
      </c>
      <c r="D145" s="15" t="n">
        <v>0.10048</v>
      </c>
      <c r="E145" s="13" t="n">
        <v>0.95617</v>
      </c>
      <c r="F145" s="16" t="n">
        <f aca="false">IF(H145=1,"",D145/E145)</f>
        <v>0.105085915684449</v>
      </c>
      <c r="G145" s="17" t="n">
        <f aca="false">IF(H145=1,"",D145/E145*Notas!$B$3)</f>
        <v>9.98316199002269</v>
      </c>
      <c r="H145" s="13" t="n">
        <v>0</v>
      </c>
      <c r="I145" s="17" t="n">
        <f aca="false">IF(H145=1,D145,G145)</f>
        <v>9.98316199002269</v>
      </c>
    </row>
    <row r="146" customFormat="false" ht="15" hidden="false" customHeight="false" outlineLevel="0" collapsed="false">
      <c r="A146" s="13" t="s">
        <v>225</v>
      </c>
      <c r="B146" s="13" t="s">
        <v>143</v>
      </c>
      <c r="C146" s="13" t="s">
        <v>174</v>
      </c>
      <c r="D146" s="15" t="n">
        <v>0.3637</v>
      </c>
      <c r="E146" s="13" t="n">
        <v>0.95617</v>
      </c>
      <c r="F146" s="16" t="n">
        <f aca="false">IF(H146=1,"",D146/E146)</f>
        <v>0.380371691226456</v>
      </c>
      <c r="G146" s="17" t="n">
        <f aca="false">IF(H146=1,"",D146/E146*Notas!$B$3)</f>
        <v>36.1353106665133</v>
      </c>
      <c r="H146" s="13" t="n">
        <v>0</v>
      </c>
      <c r="I146" s="17" t="n">
        <f aca="false">IF(H146=1,D146,G146)</f>
        <v>36.1353106665133</v>
      </c>
    </row>
    <row r="147" customFormat="false" ht="15" hidden="false" customHeight="false" outlineLevel="0" collapsed="false">
      <c r="A147" s="13" t="s">
        <v>225</v>
      </c>
      <c r="B147" s="13" t="s">
        <v>143</v>
      </c>
      <c r="C147" s="13" t="s">
        <v>175</v>
      </c>
      <c r="D147" s="15" t="n">
        <v>0.0948</v>
      </c>
      <c r="E147" s="13" t="n">
        <v>0.95617</v>
      </c>
      <c r="F147" s="16" t="n">
        <f aca="false">IF(H147=1,"",D147/E147)</f>
        <v>0.0991455494315864</v>
      </c>
      <c r="G147" s="17" t="n">
        <f aca="false">IF(H147=1,"",D147/E147*Notas!$B$3)</f>
        <v>9.41882719600071</v>
      </c>
      <c r="H147" s="13" t="n">
        <v>0</v>
      </c>
      <c r="I147" s="17" t="n">
        <f aca="false">IF(H147=1,D147,G147)</f>
        <v>9.41882719600071</v>
      </c>
    </row>
    <row r="148" customFormat="false" ht="15" hidden="false" customHeight="false" outlineLevel="0" collapsed="false">
      <c r="A148" s="13" t="s">
        <v>225</v>
      </c>
      <c r="B148" s="13" t="s">
        <v>143</v>
      </c>
      <c r="C148" s="13" t="s">
        <v>176</v>
      </c>
      <c r="D148" s="15" t="n">
        <v>0.08566</v>
      </c>
      <c r="E148" s="13" t="n">
        <v>0.95617</v>
      </c>
      <c r="F148" s="16" t="n">
        <f aca="false">IF(H148=1,"",D148/E148)</f>
        <v>0.0895865797922964</v>
      </c>
      <c r="G148" s="17" t="n">
        <f aca="false">IF(H148=1,"",D148/E148*Notas!$B$3)</f>
        <v>8.51072508026815</v>
      </c>
      <c r="H148" s="13" t="n">
        <v>0</v>
      </c>
      <c r="I148" s="17" t="n">
        <f aca="false">IF(H148=1,D148,G148)</f>
        <v>8.51072508026815</v>
      </c>
    </row>
    <row r="149" customFormat="false" ht="15" hidden="false" customHeight="false" outlineLevel="0" collapsed="false">
      <c r="A149" s="13" t="s">
        <v>225</v>
      </c>
      <c r="B149" s="13" t="s">
        <v>143</v>
      </c>
      <c r="C149" s="13" t="s">
        <v>177</v>
      </c>
      <c r="D149" s="15" t="n">
        <v>0.27908</v>
      </c>
      <c r="E149" s="13" t="n">
        <v>0.95617</v>
      </c>
      <c r="F149" s="16" t="n">
        <f aca="false">IF(H149=1,"",D149/E149)</f>
        <v>0.291872784128345</v>
      </c>
      <c r="G149" s="17" t="n">
        <f aca="false">IF(H149=1,"",D149/E149*Notas!$B$3)</f>
        <v>27.7279144921928</v>
      </c>
      <c r="H149" s="13" t="n">
        <v>0</v>
      </c>
      <c r="I149" s="17" t="n">
        <f aca="false">IF(H149=1,D149,G149)</f>
        <v>27.7279144921928</v>
      </c>
    </row>
    <row r="150" customFormat="false" ht="15" hidden="false" customHeight="false" outlineLevel="0" collapsed="false">
      <c r="A150" s="13" t="s">
        <v>225</v>
      </c>
      <c r="B150" s="13" t="s">
        <v>143</v>
      </c>
      <c r="C150" s="13" t="s">
        <v>159</v>
      </c>
      <c r="D150" s="15" t="n">
        <v>0.9953</v>
      </c>
      <c r="E150" s="13" t="n">
        <v>0.95617</v>
      </c>
      <c r="F150" s="16" t="n">
        <f aca="false">IF(H150=1,"",D150/E150)</f>
        <v>1.04092368511876</v>
      </c>
      <c r="G150" s="17" t="n">
        <f aca="false">IF(H150=1,"",D150/E150*Notas!$B$3)</f>
        <v>98.8877500862817</v>
      </c>
      <c r="H150" s="13" t="n">
        <v>0</v>
      </c>
      <c r="I150" s="17" t="n">
        <f aca="false">IF(H150=1,D150,G150)</f>
        <v>98.8877500862817</v>
      </c>
    </row>
    <row r="151" customFormat="false" ht="15" hidden="false" customHeight="false" outlineLevel="0" collapsed="false">
      <c r="A151" s="13" t="s">
        <v>228</v>
      </c>
      <c r="B151" s="13" t="s">
        <v>17</v>
      </c>
      <c r="C151" s="13" t="s">
        <v>18</v>
      </c>
      <c r="D151" s="15" t="n">
        <v>0.99769</v>
      </c>
      <c r="E151" s="13" t="n">
        <v>0.99769</v>
      </c>
      <c r="F151" s="16" t="n">
        <f aca="false">IF(H151=1,"",D151/E151)</f>
        <v>1</v>
      </c>
      <c r="G151" s="17" t="n">
        <f aca="false">IF(H151=1,"",D151/E151*Notas!$B$3)</f>
        <v>95</v>
      </c>
      <c r="H151" s="13" t="n">
        <v>0</v>
      </c>
      <c r="I151" s="17" t="n">
        <f aca="false">IF(H151=1,D151,G151)</f>
        <v>95</v>
      </c>
    </row>
    <row r="152" customFormat="false" ht="15" hidden="false" customHeight="false" outlineLevel="0" collapsed="false">
      <c r="A152" s="13" t="s">
        <v>228</v>
      </c>
      <c r="B152" s="13" t="s">
        <v>17</v>
      </c>
      <c r="C152" s="13" t="s">
        <v>19</v>
      </c>
      <c r="D152" s="15" t="n">
        <v>0.52659</v>
      </c>
      <c r="E152" s="13" t="n">
        <v>0.99769</v>
      </c>
      <c r="F152" s="16" t="n">
        <f aca="false">IF(H152=1,"",D152/E152)</f>
        <v>0.527809239342882</v>
      </c>
      <c r="G152" s="17" t="n">
        <f aca="false">IF(H152=1,"",D152/E152*Notas!$B$3)</f>
        <v>50.1418777375738</v>
      </c>
      <c r="H152" s="13" t="n">
        <v>0</v>
      </c>
      <c r="I152" s="17" t="n">
        <f aca="false">IF(H152=1,D152,G152)</f>
        <v>50.1418777375738</v>
      </c>
    </row>
    <row r="153" customFormat="false" ht="15" hidden="false" customHeight="false" outlineLevel="0" collapsed="false">
      <c r="A153" s="13" t="s">
        <v>228</v>
      </c>
      <c r="B153" s="13" t="s">
        <v>17</v>
      </c>
      <c r="C153" s="13" t="s">
        <v>20</v>
      </c>
      <c r="D153" s="15" t="n">
        <v>0.39595</v>
      </c>
      <c r="E153" s="13" t="n">
        <v>0.99769</v>
      </c>
      <c r="F153" s="16" t="n">
        <f aca="false">IF(H153=1,"",D153/E153)</f>
        <v>0.39686676222073</v>
      </c>
      <c r="G153" s="17" t="n">
        <f aca="false">IF(H153=1,"",D153/E153*Notas!$B$3)</f>
        <v>37.7023424109693</v>
      </c>
      <c r="H153" s="13" t="n">
        <v>0</v>
      </c>
      <c r="I153" s="17" t="n">
        <f aca="false">IF(H153=1,D153,G153)</f>
        <v>37.7023424109693</v>
      </c>
    </row>
    <row r="154" customFormat="false" ht="15" hidden="false" customHeight="false" outlineLevel="0" collapsed="false">
      <c r="A154" s="13" t="s">
        <v>228</v>
      </c>
      <c r="B154" s="13" t="s">
        <v>17</v>
      </c>
      <c r="C154" s="13" t="s">
        <v>21</v>
      </c>
      <c r="D154" s="15" t="n">
        <v>9733</v>
      </c>
      <c r="E154" s="13" t="n">
        <v>0.99769</v>
      </c>
      <c r="F154" s="16" t="str">
        <f aca="false">IF(H154=1,"",D154/E154)</f>
        <v/>
      </c>
      <c r="G154" s="17" t="str">
        <f aca="false">IF(H154=1,"",D154/E154*Notas!$B$3)</f>
        <v/>
      </c>
      <c r="H154" s="13" t="n">
        <v>1</v>
      </c>
      <c r="I154" s="17" t="n">
        <f aca="false">IF(H154=1,D154,G154)</f>
        <v>9733</v>
      </c>
    </row>
    <row r="155" customFormat="false" ht="15" hidden="false" customHeight="false" outlineLevel="0" collapsed="false">
      <c r="A155" s="13" t="s">
        <v>228</v>
      </c>
      <c r="B155" s="13" t="s">
        <v>17</v>
      </c>
      <c r="C155" s="13" t="s">
        <v>22</v>
      </c>
      <c r="D155" s="15" t="n">
        <v>4861</v>
      </c>
      <c r="E155" s="13" t="n">
        <v>0.99769</v>
      </c>
      <c r="F155" s="16" t="str">
        <f aca="false">IF(H155=1,"",D155/E155)</f>
        <v/>
      </c>
      <c r="G155" s="17" t="str">
        <f aca="false">IF(H155=1,"",D155/E155*Notas!$B$3)</f>
        <v/>
      </c>
      <c r="H155" s="13" t="n">
        <v>1</v>
      </c>
      <c r="I155" s="17" t="n">
        <f aca="false">IF(H155=1,D155,G155)</f>
        <v>4861</v>
      </c>
    </row>
    <row r="156" customFormat="false" ht="15" hidden="false" customHeight="false" outlineLevel="0" collapsed="false">
      <c r="A156" s="13" t="s">
        <v>228</v>
      </c>
      <c r="B156" s="13" t="s">
        <v>17</v>
      </c>
      <c r="C156" s="13" t="s">
        <v>23</v>
      </c>
      <c r="D156" s="15" t="n">
        <v>1.68257</v>
      </c>
      <c r="E156" s="13" t="n">
        <v>0.99769</v>
      </c>
      <c r="F156" s="16" t="str">
        <f aca="false">IF(H156=1,"",D156/E156)</f>
        <v/>
      </c>
      <c r="G156" s="17" t="str">
        <f aca="false">IF(H156=1,"",D156/E156*Notas!$B$3)</f>
        <v/>
      </c>
      <c r="H156" s="13" t="n">
        <v>1</v>
      </c>
      <c r="I156" s="17" t="n">
        <f aca="false">IF(H156=1,D156,G156)</f>
        <v>1.68257</v>
      </c>
    </row>
    <row r="157" customFormat="false" ht="15" hidden="false" customHeight="false" outlineLevel="0" collapsed="false">
      <c r="A157" s="13" t="s">
        <v>228</v>
      </c>
      <c r="B157" s="13" t="s">
        <v>17</v>
      </c>
      <c r="C157" s="13" t="s">
        <v>24</v>
      </c>
      <c r="D157" s="15" t="n">
        <v>0.05312</v>
      </c>
      <c r="E157" s="13" t="n">
        <v>0.99769</v>
      </c>
      <c r="F157" s="16" t="str">
        <f aca="false">IF(H157=1,"",D157/E157)</f>
        <v/>
      </c>
      <c r="G157" s="17" t="str">
        <f aca="false">IF(H157=1,"",D157/E157*Notas!$B$3)</f>
        <v/>
      </c>
      <c r="H157" s="13" t="n">
        <v>1</v>
      </c>
      <c r="I157" s="17" t="n">
        <f aca="false">IF(H157=1,D157,G157)</f>
        <v>0.05312</v>
      </c>
    </row>
    <row r="158" customFormat="false" ht="15" hidden="false" customHeight="false" outlineLevel="0" collapsed="false">
      <c r="A158" s="13" t="s">
        <v>228</v>
      </c>
      <c r="B158" s="13" t="s">
        <v>25</v>
      </c>
      <c r="C158" s="13" t="s">
        <v>26</v>
      </c>
      <c r="D158" s="15" t="n">
        <v>53.29167</v>
      </c>
      <c r="E158" s="13" t="n">
        <v>0.99769</v>
      </c>
      <c r="F158" s="16" t="str">
        <f aca="false">IF(H158=1,"",D158/E158)</f>
        <v/>
      </c>
      <c r="G158" s="17" t="str">
        <f aca="false">IF(H158=1,"",D158/E158*Notas!$B$3)</f>
        <v/>
      </c>
      <c r="H158" s="13" t="n">
        <v>1</v>
      </c>
      <c r="I158" s="17" t="n">
        <f aca="false">IF(H158=1,D158,G158)</f>
        <v>53.29167</v>
      </c>
    </row>
    <row r="159" customFormat="false" ht="15" hidden="false" customHeight="false" outlineLevel="0" collapsed="false">
      <c r="A159" s="13" t="s">
        <v>228</v>
      </c>
      <c r="B159" s="13" t="s">
        <v>25</v>
      </c>
      <c r="C159" s="13" t="s">
        <v>27</v>
      </c>
      <c r="D159" s="15" t="n">
        <v>7.16016</v>
      </c>
      <c r="E159" s="13" t="n">
        <v>0.99769</v>
      </c>
      <c r="F159" s="16" t="str">
        <f aca="false">IF(H159=1,"",D159/E159)</f>
        <v/>
      </c>
      <c r="G159" s="17" t="str">
        <f aca="false">IF(H159=1,"",D159/E159*Notas!$B$3)</f>
        <v/>
      </c>
      <c r="H159" s="13" t="n">
        <v>1</v>
      </c>
      <c r="I159" s="17" t="n">
        <f aca="false">IF(H159=1,D159,G159)</f>
        <v>7.16016</v>
      </c>
    </row>
    <row r="160" customFormat="false" ht="15" hidden="false" customHeight="false" outlineLevel="0" collapsed="false">
      <c r="A160" s="13" t="s">
        <v>228</v>
      </c>
      <c r="B160" s="13" t="s">
        <v>25</v>
      </c>
      <c r="C160" s="13" t="s">
        <v>28</v>
      </c>
      <c r="D160" s="15" t="n">
        <v>30.7105</v>
      </c>
      <c r="E160" s="13" t="n">
        <v>0.99769</v>
      </c>
      <c r="F160" s="16" t="str">
        <f aca="false">IF(H160=1,"",D160/E160)</f>
        <v/>
      </c>
      <c r="G160" s="17" t="str">
        <f aca="false">IF(H160=1,"",D160/E160*Notas!$B$3)</f>
        <v/>
      </c>
      <c r="H160" s="13" t="n">
        <v>1</v>
      </c>
      <c r="I160" s="17" t="n">
        <f aca="false">IF(H160=1,D160,G160)</f>
        <v>30.7105</v>
      </c>
    </row>
    <row r="161" customFormat="false" ht="15" hidden="false" customHeight="false" outlineLevel="0" collapsed="false">
      <c r="A161" s="13" t="s">
        <v>228</v>
      </c>
      <c r="B161" s="13" t="s">
        <v>25</v>
      </c>
      <c r="C161" s="13" t="s">
        <v>29</v>
      </c>
      <c r="D161" s="15" t="n">
        <v>8.83768</v>
      </c>
      <c r="E161" s="13" t="n">
        <v>0.99769</v>
      </c>
      <c r="F161" s="16" t="str">
        <f aca="false">IF(H161=1,"",D161/E161)</f>
        <v/>
      </c>
      <c r="G161" s="17" t="str">
        <f aca="false">IF(H161=1,"",D161/E161*Notas!$B$3)</f>
        <v/>
      </c>
      <c r="H161" s="13" t="n">
        <v>1</v>
      </c>
      <c r="I161" s="17" t="n">
        <f aca="false">IF(H161=1,D161,G161)</f>
        <v>8.83768</v>
      </c>
    </row>
    <row r="162" customFormat="false" ht="15" hidden="false" customHeight="false" outlineLevel="0" collapsed="false">
      <c r="A162" s="13" t="s">
        <v>228</v>
      </c>
      <c r="B162" s="13" t="s">
        <v>30</v>
      </c>
      <c r="C162" s="13" t="s">
        <v>31</v>
      </c>
      <c r="D162" s="15" t="n">
        <v>0.55871</v>
      </c>
      <c r="E162" s="13" t="n">
        <v>0.99769</v>
      </c>
      <c r="F162" s="16" t="n">
        <f aca="false">IF(H162=1,"",D162/E162)</f>
        <v>0.560003608335255</v>
      </c>
      <c r="G162" s="17" t="n">
        <f aca="false">IF(H162=1,"",D162/E162*Notas!$B$3)</f>
        <v>53.2003427918492</v>
      </c>
      <c r="H162" s="13" t="n">
        <v>0</v>
      </c>
      <c r="I162" s="17" t="n">
        <f aca="false">IF(H162=1,D162,G162)</f>
        <v>53.2003427918492</v>
      </c>
    </row>
    <row r="163" customFormat="false" ht="15" hidden="false" customHeight="false" outlineLevel="0" collapsed="false">
      <c r="A163" s="13" t="s">
        <v>228</v>
      </c>
      <c r="B163" s="13" t="s">
        <v>30</v>
      </c>
      <c r="C163" s="13" t="s">
        <v>32</v>
      </c>
      <c r="D163" s="15" t="n">
        <v>0.43898</v>
      </c>
      <c r="E163" s="13" t="n">
        <v>0.99769</v>
      </c>
      <c r="F163" s="16" t="n">
        <f aca="false">IF(H163=1,"",D163/E163)</f>
        <v>0.439996391664746</v>
      </c>
      <c r="G163" s="17" t="n">
        <f aca="false">IF(H163=1,"",D163/E163*Notas!$B$3)</f>
        <v>41.7996572081508</v>
      </c>
      <c r="H163" s="13" t="n">
        <v>0</v>
      </c>
      <c r="I163" s="17" t="n">
        <f aca="false">IF(H163=1,D163,G163)</f>
        <v>41.7996572081508</v>
      </c>
    </row>
    <row r="164" customFormat="false" ht="15" hidden="false" customHeight="false" outlineLevel="0" collapsed="false">
      <c r="A164" s="13" t="s">
        <v>228</v>
      </c>
      <c r="B164" s="13" t="s">
        <v>30</v>
      </c>
      <c r="C164" s="13" t="s">
        <v>33</v>
      </c>
      <c r="D164" s="15" t="n">
        <v>0.52659</v>
      </c>
      <c r="E164" s="13" t="n">
        <v>0.99769</v>
      </c>
      <c r="F164" s="16" t="n">
        <f aca="false">IF(H164=1,"",D164/E164)</f>
        <v>0.527809239342882</v>
      </c>
      <c r="G164" s="17" t="n">
        <f aca="false">IF(H164=1,"",D164/E164*Notas!$B$3)</f>
        <v>50.1418777375738</v>
      </c>
      <c r="H164" s="13" t="n">
        <v>0</v>
      </c>
      <c r="I164" s="17" t="n">
        <f aca="false">IF(H164=1,D164,G164)</f>
        <v>50.1418777375738</v>
      </c>
    </row>
    <row r="165" customFormat="false" ht="15" hidden="false" customHeight="false" outlineLevel="0" collapsed="false">
      <c r="A165" s="13" t="s">
        <v>228</v>
      </c>
      <c r="B165" s="13" t="s">
        <v>30</v>
      </c>
      <c r="C165" s="13" t="s">
        <v>34</v>
      </c>
      <c r="D165" s="15" t="n">
        <v>0.39595</v>
      </c>
      <c r="E165" s="13" t="n">
        <v>0.99769</v>
      </c>
      <c r="F165" s="16" t="n">
        <f aca="false">IF(H165=1,"",D165/E165)</f>
        <v>0.39686676222073</v>
      </c>
      <c r="G165" s="17" t="n">
        <f aca="false">IF(H165=1,"",D165/E165*Notas!$B$3)</f>
        <v>37.7023424109693</v>
      </c>
      <c r="H165" s="13" t="n">
        <v>0</v>
      </c>
      <c r="I165" s="17" t="n">
        <f aca="false">IF(H165=1,D165,G165)</f>
        <v>37.7023424109693</v>
      </c>
    </row>
    <row r="166" customFormat="false" ht="15" hidden="false" customHeight="false" outlineLevel="0" collapsed="false">
      <c r="A166" s="13" t="s">
        <v>228</v>
      </c>
      <c r="B166" s="13" t="s">
        <v>35</v>
      </c>
      <c r="C166" s="13" t="s">
        <v>36</v>
      </c>
      <c r="D166" s="15" t="n">
        <v>2.27273</v>
      </c>
      <c r="E166" s="13" t="n">
        <v>0.99769</v>
      </c>
      <c r="F166" s="16" t="str">
        <f aca="false">IF(H166=1,"",D166/E166)</f>
        <v/>
      </c>
      <c r="G166" s="17" t="str">
        <f aca="false">IF(H166=1,"",D166/E166*Notas!$B$3)</f>
        <v/>
      </c>
      <c r="H166" s="13" t="n">
        <v>1</v>
      </c>
      <c r="I166" s="17" t="n">
        <f aca="false">IF(H166=1,D166,G166)</f>
        <v>2.27273</v>
      </c>
    </row>
    <row r="167" customFormat="false" ht="15" hidden="false" customHeight="false" outlineLevel="0" collapsed="false">
      <c r="A167" s="13" t="s">
        <v>228</v>
      </c>
      <c r="B167" s="13" t="s">
        <v>35</v>
      </c>
      <c r="C167" s="13" t="s">
        <v>37</v>
      </c>
      <c r="D167" s="15" t="n">
        <v>44</v>
      </c>
      <c r="E167" s="13" t="n">
        <v>0.99769</v>
      </c>
      <c r="F167" s="16" t="str">
        <f aca="false">IF(H167=1,"",D167/E167)</f>
        <v/>
      </c>
      <c r="G167" s="17" t="str">
        <f aca="false">IF(H167=1,"",D167/E167*Notas!$B$3)</f>
        <v/>
      </c>
      <c r="H167" s="13" t="n">
        <v>1</v>
      </c>
      <c r="I167" s="17" t="n">
        <f aca="false">IF(H167=1,D167,G167)</f>
        <v>44</v>
      </c>
    </row>
    <row r="168" customFormat="false" ht="15" hidden="false" customHeight="false" outlineLevel="0" collapsed="false">
      <c r="A168" s="13" t="s">
        <v>228</v>
      </c>
      <c r="B168" s="13" t="s">
        <v>38</v>
      </c>
      <c r="C168" s="13" t="s">
        <v>39</v>
      </c>
      <c r="D168" s="15" t="n">
        <v>0.67555</v>
      </c>
      <c r="E168" s="13" t="n">
        <v>0.99769</v>
      </c>
      <c r="F168" s="16" t="n">
        <f aca="false">IF(H168=1,"",D168/E168)</f>
        <v>0.677114133648729</v>
      </c>
      <c r="G168" s="17" t="n">
        <f aca="false">IF(H168=1,"",D168/E168*Notas!$B$3)</f>
        <v>64.3258426966292</v>
      </c>
      <c r="H168" s="13" t="n">
        <v>0</v>
      </c>
      <c r="I168" s="17" t="n">
        <f aca="false">IF(H168=1,D168,G168)</f>
        <v>64.3258426966292</v>
      </c>
    </row>
    <row r="169" customFormat="false" ht="15" hidden="false" customHeight="false" outlineLevel="0" collapsed="false">
      <c r="A169" s="13" t="s">
        <v>228</v>
      </c>
      <c r="B169" s="13" t="s">
        <v>38</v>
      </c>
      <c r="C169" s="13" t="s">
        <v>40</v>
      </c>
      <c r="D169" s="15" t="n">
        <v>0.11489</v>
      </c>
      <c r="E169" s="13" t="n">
        <v>0.99769</v>
      </c>
      <c r="F169" s="16" t="n">
        <f aca="false">IF(H169=1,"",D169/E169)</f>
        <v>0.115156010383987</v>
      </c>
      <c r="G169" s="17" t="n">
        <f aca="false">IF(H169=1,"",D169/E169*Notas!$B$3)</f>
        <v>10.9398209864788</v>
      </c>
      <c r="H169" s="13" t="n">
        <v>0</v>
      </c>
      <c r="I169" s="17" t="n">
        <f aca="false">IF(H169=1,D169,G169)</f>
        <v>10.9398209864788</v>
      </c>
    </row>
    <row r="170" customFormat="false" ht="15" hidden="false" customHeight="false" outlineLevel="0" collapsed="false">
      <c r="A170" s="13" t="s">
        <v>228</v>
      </c>
      <c r="B170" s="13" t="s">
        <v>38</v>
      </c>
      <c r="C170" s="13" t="s">
        <v>41</v>
      </c>
      <c r="D170" s="15" t="n">
        <v>0.19042</v>
      </c>
      <c r="E170" s="13" t="n">
        <v>0.99769</v>
      </c>
      <c r="F170" s="16" t="n">
        <f aca="false">IF(H170=1,"",D170/E170)</f>
        <v>0.190860888652788</v>
      </c>
      <c r="G170" s="17" t="n">
        <f aca="false">IF(H170=1,"",D170/E170*Notas!$B$3)</f>
        <v>18.1317844220149</v>
      </c>
      <c r="H170" s="13" t="n">
        <v>0</v>
      </c>
      <c r="I170" s="17" t="n">
        <f aca="false">IF(H170=1,D170,G170)</f>
        <v>18.1317844220149</v>
      </c>
    </row>
    <row r="171" customFormat="false" ht="15" hidden="false" customHeight="false" outlineLevel="0" collapsed="false">
      <c r="A171" s="13" t="s">
        <v>228</v>
      </c>
      <c r="B171" s="13" t="s">
        <v>38</v>
      </c>
      <c r="C171" s="13" t="s">
        <v>42</v>
      </c>
      <c r="D171" s="15" t="n">
        <v>-0.07943</v>
      </c>
      <c r="E171" s="13" t="n">
        <v>0.99769</v>
      </c>
      <c r="F171" s="16" t="n">
        <f aca="false">IF(H171=1,"",D171/E171)</f>
        <v>-0.0796139081277752</v>
      </c>
      <c r="G171" s="17" t="n">
        <f aca="false">IF(H171=1,"",D171/E171*Notas!$B$3)</f>
        <v>-7.56332127213864</v>
      </c>
      <c r="H171" s="13" t="n">
        <v>0</v>
      </c>
      <c r="I171" s="17" t="n">
        <f aca="false">IF(H171=1,D171,G171)</f>
        <v>-7.56332127213864</v>
      </c>
    </row>
    <row r="172" customFormat="false" ht="15" hidden="false" customHeight="false" outlineLevel="0" collapsed="false">
      <c r="A172" s="13" t="s">
        <v>228</v>
      </c>
      <c r="B172" s="13" t="s">
        <v>38</v>
      </c>
      <c r="C172" s="13" t="s">
        <v>43</v>
      </c>
      <c r="D172" s="15" t="n">
        <v>0.67465</v>
      </c>
      <c r="E172" s="13" t="n">
        <v>0.99769</v>
      </c>
      <c r="F172" s="16" t="n">
        <f aca="false">IF(H172=1,"",D172/E172)</f>
        <v>0.676212049835119</v>
      </c>
      <c r="G172" s="17" t="n">
        <f aca="false">IF(H172=1,"",D172/E172*Notas!$B$3)</f>
        <v>64.2401447343363</v>
      </c>
      <c r="H172" s="13" t="n">
        <v>0</v>
      </c>
      <c r="I172" s="17" t="n">
        <f aca="false">IF(H172=1,D172,G172)</f>
        <v>64.2401447343363</v>
      </c>
    </row>
    <row r="173" customFormat="false" ht="15" hidden="false" customHeight="false" outlineLevel="0" collapsed="false">
      <c r="A173" s="13" t="s">
        <v>228</v>
      </c>
      <c r="B173" s="13" t="s">
        <v>38</v>
      </c>
      <c r="C173" s="13" t="s">
        <v>44</v>
      </c>
      <c r="D173" s="15" t="n">
        <v>0.13533</v>
      </c>
      <c r="E173" s="13" t="n">
        <v>0.99769</v>
      </c>
      <c r="F173" s="16" t="n">
        <f aca="false">IF(H173=1,"",D173/E173)</f>
        <v>0.135643336106406</v>
      </c>
      <c r="G173" s="17" t="n">
        <f aca="false">IF(H173=1,"",D173/E173*Notas!$B$3)</f>
        <v>12.8861169301086</v>
      </c>
      <c r="H173" s="13" t="n">
        <v>0</v>
      </c>
      <c r="I173" s="17" t="n">
        <f aca="false">IF(H173=1,D173,G173)</f>
        <v>12.8861169301086</v>
      </c>
    </row>
    <row r="174" customFormat="false" ht="15" hidden="false" customHeight="false" outlineLevel="0" collapsed="false">
      <c r="A174" s="13" t="s">
        <v>228</v>
      </c>
      <c r="B174" s="13" t="s">
        <v>38</v>
      </c>
      <c r="C174" s="13" t="s">
        <v>45</v>
      </c>
      <c r="D174" s="15" t="n">
        <v>0.19501</v>
      </c>
      <c r="E174" s="13" t="n">
        <v>0.99769</v>
      </c>
      <c r="F174" s="16" t="n">
        <f aca="false">IF(H174=1,"",D174/E174)</f>
        <v>0.195461516102196</v>
      </c>
      <c r="G174" s="17" t="n">
        <f aca="false">IF(H174=1,"",D174/E174*Notas!$B$3)</f>
        <v>18.5688440297086</v>
      </c>
      <c r="H174" s="13" t="n">
        <v>0</v>
      </c>
      <c r="I174" s="17" t="n">
        <f aca="false">IF(H174=1,D174,G174)</f>
        <v>18.5688440297086</v>
      </c>
    </row>
    <row r="175" customFormat="false" ht="15" hidden="false" customHeight="false" outlineLevel="0" collapsed="false">
      <c r="A175" s="13" t="s">
        <v>228</v>
      </c>
      <c r="B175" s="13" t="s">
        <v>38</v>
      </c>
      <c r="C175" s="13" t="s">
        <v>46</v>
      </c>
      <c r="D175" s="15" t="n">
        <v>0.08809</v>
      </c>
      <c r="E175" s="13" t="n">
        <v>0.99769</v>
      </c>
      <c r="F175" s="16" t="n">
        <f aca="false">IF(H175=1,"",D175/E175)</f>
        <v>0.0882939590453949</v>
      </c>
      <c r="G175" s="17" t="n">
        <f aca="false">IF(H175=1,"",D175/E175*Notas!$B$3)</f>
        <v>8.38792610931251</v>
      </c>
      <c r="H175" s="13" t="n">
        <v>0</v>
      </c>
      <c r="I175" s="17" t="n">
        <f aca="false">IF(H175=1,D175,G175)</f>
        <v>8.38792610931251</v>
      </c>
    </row>
    <row r="176" customFormat="false" ht="15" hidden="false" customHeight="false" outlineLevel="0" collapsed="false">
      <c r="A176" s="13" t="s">
        <v>228</v>
      </c>
      <c r="B176" s="13" t="s">
        <v>38</v>
      </c>
      <c r="C176" s="13" t="s">
        <v>47</v>
      </c>
      <c r="D176" s="15" t="n">
        <v>0.19501</v>
      </c>
      <c r="E176" s="13" t="n">
        <v>0.99769</v>
      </c>
      <c r="F176" s="16" t="n">
        <f aca="false">IF(H176=1,"",D176/E176)</f>
        <v>0.195461516102196</v>
      </c>
      <c r="G176" s="17" t="n">
        <f aca="false">IF(H176=1,"",D176/E176*Notas!$B$3)</f>
        <v>18.5688440297086</v>
      </c>
      <c r="H176" s="13" t="n">
        <v>0</v>
      </c>
      <c r="I176" s="17" t="n">
        <f aca="false">IF(H176=1,D176,G176)</f>
        <v>18.5688440297086</v>
      </c>
    </row>
    <row r="177" customFormat="false" ht="15" hidden="false" customHeight="false" outlineLevel="0" collapsed="false">
      <c r="A177" s="13" t="s">
        <v>228</v>
      </c>
      <c r="B177" s="13" t="s">
        <v>38</v>
      </c>
      <c r="C177" s="13" t="s">
        <v>48</v>
      </c>
      <c r="D177" s="15" t="n">
        <v>0.29263</v>
      </c>
      <c r="E177" s="13" t="n">
        <v>0.99769</v>
      </c>
      <c r="F177" s="16" t="n">
        <f aca="false">IF(H177=1,"",D177/E177)</f>
        <v>0.293307540418366</v>
      </c>
      <c r="G177" s="17" t="n">
        <f aca="false">IF(H177=1,"",D177/E177*Notas!$B$3)</f>
        <v>27.8642163397448</v>
      </c>
      <c r="H177" s="13" t="n">
        <v>0</v>
      </c>
      <c r="I177" s="17" t="n">
        <f aca="false">IF(H177=1,D177,G177)</f>
        <v>27.8642163397448</v>
      </c>
    </row>
    <row r="178" customFormat="false" ht="15" hidden="false" customHeight="false" outlineLevel="0" collapsed="false">
      <c r="A178" s="13" t="s">
        <v>228</v>
      </c>
      <c r="B178" s="13" t="s">
        <v>30</v>
      </c>
      <c r="C178" s="13" t="s">
        <v>49</v>
      </c>
      <c r="D178" s="15" t="n">
        <v>0.47163</v>
      </c>
      <c r="E178" s="13" t="n">
        <v>0.99769</v>
      </c>
      <c r="F178" s="16" t="n">
        <f aca="false">IF(H178=1,"",D178/E178)</f>
        <v>0.472721987791799</v>
      </c>
      <c r="G178" s="17" t="n">
        <f aca="false">IF(H178=1,"",D178/E178*Notas!$B$3)</f>
        <v>44.9085888402209</v>
      </c>
      <c r="H178" s="13" t="n">
        <v>0</v>
      </c>
      <c r="I178" s="17" t="n">
        <f aca="false">IF(H178=1,D178,G178)</f>
        <v>44.9085888402209</v>
      </c>
    </row>
    <row r="179" customFormat="false" ht="15" hidden="false" customHeight="false" outlineLevel="0" collapsed="false">
      <c r="A179" s="13" t="s">
        <v>228</v>
      </c>
      <c r="B179" s="13" t="s">
        <v>30</v>
      </c>
      <c r="C179" s="13" t="s">
        <v>50</v>
      </c>
      <c r="D179" s="15" t="n">
        <v>0.32736</v>
      </c>
      <c r="E179" s="13" t="n">
        <v>0.99769</v>
      </c>
      <c r="F179" s="16" t="n">
        <f aca="false">IF(H179=1,"",D179/E179)</f>
        <v>0.328117952470206</v>
      </c>
      <c r="G179" s="17" t="n">
        <f aca="false">IF(H179=1,"",D179/E179*Notas!$B$3)</f>
        <v>31.1712054846696</v>
      </c>
      <c r="H179" s="13" t="n">
        <v>0</v>
      </c>
      <c r="I179" s="17" t="n">
        <f aca="false">IF(H179=1,D179,G179)</f>
        <v>31.1712054846696</v>
      </c>
    </row>
    <row r="180" customFormat="false" ht="15" hidden="false" customHeight="false" outlineLevel="0" collapsed="false">
      <c r="A180" s="13" t="s">
        <v>228</v>
      </c>
      <c r="B180" s="13" t="s">
        <v>30</v>
      </c>
      <c r="C180" s="13" t="s">
        <v>51</v>
      </c>
      <c r="D180" s="15" t="n">
        <v>1.67642</v>
      </c>
      <c r="E180" s="13" t="n">
        <v>0.99769</v>
      </c>
      <c r="F180" s="16" t="n">
        <f aca="false">IF(H180=1,"",D180/E180)</f>
        <v>1.68030149645682</v>
      </c>
      <c r="G180" s="17" t="n">
        <f aca="false">IF(H180=1,"",D180/E180*Notas!$B$3)</f>
        <v>159.628642163397</v>
      </c>
      <c r="H180" s="13" t="n">
        <v>0</v>
      </c>
      <c r="I180" s="17" t="n">
        <f aca="false">IF(H180=1,D180,G180)</f>
        <v>159.628642163397</v>
      </c>
    </row>
    <row r="181" customFormat="false" ht="15" hidden="false" customHeight="false" outlineLevel="0" collapsed="false">
      <c r="A181" s="13" t="s">
        <v>228</v>
      </c>
      <c r="B181" s="13" t="s">
        <v>30</v>
      </c>
      <c r="C181" s="13" t="s">
        <v>52</v>
      </c>
      <c r="D181" s="15" t="n">
        <v>0.49028</v>
      </c>
      <c r="E181" s="13" t="n">
        <v>0.99769</v>
      </c>
      <c r="F181" s="16" t="n">
        <f aca="false">IF(H181=1,"",D181/E181)</f>
        <v>0.491415169040484</v>
      </c>
      <c r="G181" s="17" t="n">
        <f aca="false">IF(H181=1,"",D181/E181*Notas!$B$3)</f>
        <v>46.6844410588459</v>
      </c>
      <c r="H181" s="13" t="n">
        <v>0</v>
      </c>
      <c r="I181" s="17" t="n">
        <f aca="false">IF(H181=1,D181,G181)</f>
        <v>46.6844410588459</v>
      </c>
    </row>
    <row r="182" customFormat="false" ht="15" hidden="false" customHeight="false" outlineLevel="0" collapsed="false">
      <c r="A182" s="13" t="s">
        <v>228</v>
      </c>
      <c r="B182" s="13" t="s">
        <v>30</v>
      </c>
      <c r="C182" s="13" t="s">
        <v>53</v>
      </c>
      <c r="D182" s="15" t="n">
        <v>0.39471</v>
      </c>
      <c r="E182" s="13" t="n">
        <v>0.99769</v>
      </c>
      <c r="F182" s="16" t="n">
        <f aca="false">IF(H182=1,"",D182/E182)</f>
        <v>0.395623891188646</v>
      </c>
      <c r="G182" s="17" t="n">
        <f aca="false">IF(H182=1,"",D182/E182*Notas!$B$3)</f>
        <v>37.5842696629214</v>
      </c>
      <c r="H182" s="13" t="n">
        <v>0</v>
      </c>
      <c r="I182" s="17" t="n">
        <f aca="false">IF(H182=1,D182,G182)</f>
        <v>37.5842696629214</v>
      </c>
    </row>
    <row r="183" customFormat="false" ht="15" hidden="false" customHeight="false" outlineLevel="0" collapsed="false">
      <c r="A183" s="13" t="s">
        <v>228</v>
      </c>
      <c r="B183" s="13" t="s">
        <v>30</v>
      </c>
      <c r="C183" s="13" t="s">
        <v>54</v>
      </c>
      <c r="D183" s="15" t="n">
        <v>1.85098</v>
      </c>
      <c r="E183" s="13" t="n">
        <v>0.99769</v>
      </c>
      <c r="F183" s="16" t="n">
        <f aca="false">IF(H183=1,"",D183/E183)</f>
        <v>1.85526566368311</v>
      </c>
      <c r="G183" s="17" t="n">
        <f aca="false">IF(H183=1,"",D183/E183*Notas!$B$3)</f>
        <v>176.250238049895</v>
      </c>
      <c r="H183" s="13" t="n">
        <v>0</v>
      </c>
      <c r="I183" s="17" t="n">
        <f aca="false">IF(H183=1,D183,G183)</f>
        <v>176.250238049895</v>
      </c>
    </row>
    <row r="184" customFormat="false" ht="15" hidden="false" customHeight="false" outlineLevel="0" collapsed="false">
      <c r="A184" s="13" t="s">
        <v>228</v>
      </c>
      <c r="B184" s="13" t="s">
        <v>30</v>
      </c>
      <c r="C184" s="13" t="s">
        <v>55</v>
      </c>
      <c r="D184" s="15" t="n">
        <v>0.44612</v>
      </c>
      <c r="E184" s="13" t="n">
        <v>0.99769</v>
      </c>
      <c r="F184" s="16" t="n">
        <f aca="false">IF(H184=1,"",D184/E184)</f>
        <v>0.447152923252714</v>
      </c>
      <c r="G184" s="17" t="n">
        <f aca="false">IF(H184=1,"",D184/E184*Notas!$B$3)</f>
        <v>42.4795277090078</v>
      </c>
      <c r="H184" s="13" t="n">
        <v>0</v>
      </c>
      <c r="I184" s="17" t="n">
        <f aca="false">IF(H184=1,D184,G184)</f>
        <v>42.4795277090078</v>
      </c>
    </row>
    <row r="185" customFormat="false" ht="15" hidden="false" customHeight="false" outlineLevel="0" collapsed="false">
      <c r="A185" s="13" t="s">
        <v>228</v>
      </c>
      <c r="B185" s="13" t="s">
        <v>30</v>
      </c>
      <c r="C185" s="13" t="s">
        <v>56</v>
      </c>
      <c r="D185" s="15" t="n">
        <v>0.32448</v>
      </c>
      <c r="E185" s="13" t="n">
        <v>0.99769</v>
      </c>
      <c r="F185" s="16" t="n">
        <f aca="false">IF(H185=1,"",D185/E185)</f>
        <v>0.325231284266656</v>
      </c>
      <c r="G185" s="17" t="n">
        <f aca="false">IF(H185=1,"",D185/E185*Notas!$B$3)</f>
        <v>30.8969720053323</v>
      </c>
      <c r="H185" s="13" t="n">
        <v>0</v>
      </c>
      <c r="I185" s="17" t="n">
        <f aca="false">IF(H185=1,D185,G185)</f>
        <v>30.8969720053323</v>
      </c>
    </row>
    <row r="186" customFormat="false" ht="15" hidden="false" customHeight="false" outlineLevel="0" collapsed="false">
      <c r="A186" s="13" t="s">
        <v>228</v>
      </c>
      <c r="B186" s="13" t="s">
        <v>30</v>
      </c>
      <c r="C186" s="13" t="s">
        <v>57</v>
      </c>
      <c r="D186" s="15" t="n">
        <v>1.69985</v>
      </c>
      <c r="E186" s="13" t="n">
        <v>0.99769</v>
      </c>
      <c r="F186" s="16" t="n">
        <f aca="false">IF(H186=1,"",D186/E186)</f>
        <v>1.70378574507111</v>
      </c>
      <c r="G186" s="17" t="n">
        <f aca="false">IF(H186=1,"",D186/E186*Notas!$B$3)</f>
        <v>161.859645781756</v>
      </c>
      <c r="H186" s="13" t="n">
        <v>0</v>
      </c>
      <c r="I186" s="17" t="n">
        <f aca="false">IF(H186=1,D186,G186)</f>
        <v>161.859645781756</v>
      </c>
    </row>
    <row r="187" customFormat="false" ht="15" hidden="false" customHeight="false" outlineLevel="0" collapsed="false">
      <c r="A187" s="13" t="s">
        <v>228</v>
      </c>
      <c r="B187" s="13" t="s">
        <v>58</v>
      </c>
      <c r="C187" s="13" t="s">
        <v>59</v>
      </c>
      <c r="D187" s="15" t="n">
        <v>0.7116</v>
      </c>
      <c r="E187" s="13" t="n">
        <v>0.99769</v>
      </c>
      <c r="F187" s="16" t="n">
        <f aca="false">IF(H187=1,"",D187/E187)</f>
        <v>0.713247601960529</v>
      </c>
      <c r="G187" s="17" t="n">
        <f aca="false">IF(H187=1,"",D187/E187*Notas!$B$3)</f>
        <v>67.7585221862502</v>
      </c>
      <c r="H187" s="13" t="n">
        <v>0</v>
      </c>
      <c r="I187" s="17" t="n">
        <f aca="false">IF(H187=1,D187,G187)</f>
        <v>67.7585221862502</v>
      </c>
    </row>
    <row r="188" customFormat="false" ht="15" hidden="false" customHeight="false" outlineLevel="0" collapsed="false">
      <c r="A188" s="13" t="s">
        <v>228</v>
      </c>
      <c r="B188" s="13" t="s">
        <v>58</v>
      </c>
      <c r="C188" s="13" t="s">
        <v>60</v>
      </c>
      <c r="D188" s="15" t="n">
        <v>0.26329</v>
      </c>
      <c r="E188" s="13" t="n">
        <v>0.99769</v>
      </c>
      <c r="F188" s="16" t="n">
        <f aca="false">IF(H188=1,"",D188/E188)</f>
        <v>0.263899608094699</v>
      </c>
      <c r="G188" s="17" t="n">
        <f aca="false">IF(H188=1,"",D188/E188*Notas!$B$3)</f>
        <v>25.0704627689964</v>
      </c>
      <c r="H188" s="13" t="n">
        <v>0</v>
      </c>
      <c r="I188" s="17" t="n">
        <f aca="false">IF(H188=1,D188,G188)</f>
        <v>25.0704627689964</v>
      </c>
    </row>
    <row r="189" customFormat="false" ht="15" hidden="false" customHeight="false" outlineLevel="0" collapsed="false">
      <c r="A189" s="13" t="s">
        <v>228</v>
      </c>
      <c r="B189" s="13" t="s">
        <v>58</v>
      </c>
      <c r="C189" s="13" t="s">
        <v>61</v>
      </c>
      <c r="D189" s="15" t="n">
        <v>0.70756</v>
      </c>
      <c r="E189" s="13" t="n">
        <v>0.99769</v>
      </c>
      <c r="F189" s="16" t="n">
        <f aca="false">IF(H189=1,"",D189/E189)</f>
        <v>0.709198247952771</v>
      </c>
      <c r="G189" s="17" t="n">
        <f aca="false">IF(H189=1,"",D189/E189*Notas!$B$3)</f>
        <v>67.3738335555132</v>
      </c>
      <c r="H189" s="13" t="n">
        <v>0</v>
      </c>
      <c r="I189" s="17" t="n">
        <f aca="false">IF(H189=1,D189,G189)</f>
        <v>67.3738335555132</v>
      </c>
    </row>
    <row r="190" customFormat="false" ht="15" hidden="false" customHeight="false" outlineLevel="0" collapsed="false">
      <c r="A190" s="13" t="s">
        <v>228</v>
      </c>
      <c r="B190" s="13" t="s">
        <v>58</v>
      </c>
      <c r="C190" s="13" t="s">
        <v>62</v>
      </c>
      <c r="D190" s="15" t="n">
        <v>0.26329</v>
      </c>
      <c r="E190" s="13" t="n">
        <v>0.99769</v>
      </c>
      <c r="F190" s="16" t="n">
        <f aca="false">IF(H190=1,"",D190/E190)</f>
        <v>0.263899608094699</v>
      </c>
      <c r="G190" s="17" t="n">
        <f aca="false">IF(H190=1,"",D190/E190*Notas!$B$3)</f>
        <v>25.0704627689964</v>
      </c>
      <c r="H190" s="13" t="n">
        <v>0</v>
      </c>
      <c r="I190" s="17" t="n">
        <f aca="false">IF(H190=1,D190,G190)</f>
        <v>25.0704627689964</v>
      </c>
    </row>
    <row r="191" customFormat="false" ht="15" hidden="false" customHeight="false" outlineLevel="0" collapsed="false">
      <c r="A191" s="13" t="s">
        <v>228</v>
      </c>
      <c r="B191" s="13" t="s">
        <v>63</v>
      </c>
      <c r="C191" s="13" t="s">
        <v>64</v>
      </c>
      <c r="D191" s="15" t="n">
        <v>0.56433</v>
      </c>
      <c r="E191" s="13" t="n">
        <v>0.99769</v>
      </c>
      <c r="F191" s="16" t="n">
        <f aca="false">IF(H191=1,"",D191/E191)</f>
        <v>0.565636620593571</v>
      </c>
      <c r="G191" s="17" t="n">
        <f aca="false">IF(H191=1,"",D191/E191*Notas!$B$3)</f>
        <v>53.7354789563893</v>
      </c>
      <c r="H191" s="13" t="n">
        <v>0</v>
      </c>
      <c r="I191" s="17" t="n">
        <f aca="false">IF(H191=1,D191,G191)</f>
        <v>53.7354789563893</v>
      </c>
    </row>
    <row r="192" customFormat="false" ht="15" hidden="false" customHeight="false" outlineLevel="0" collapsed="false">
      <c r="A192" s="13" t="s">
        <v>228</v>
      </c>
      <c r="B192" s="13" t="s">
        <v>63</v>
      </c>
      <c r="C192" s="13" t="s">
        <v>65</v>
      </c>
      <c r="D192" s="15" t="n">
        <v>0.30928</v>
      </c>
      <c r="E192" s="13" t="n">
        <v>0.99769</v>
      </c>
      <c r="F192" s="16" t="n">
        <f aca="false">IF(H192=1,"",D192/E192)</f>
        <v>0.309996090970141</v>
      </c>
      <c r="G192" s="17" t="n">
        <f aca="false">IF(H192=1,"",D192/E192*Notas!$B$3)</f>
        <v>29.4496286421634</v>
      </c>
      <c r="H192" s="13" t="n">
        <v>0</v>
      </c>
      <c r="I192" s="17" t="n">
        <f aca="false">IF(H192=1,D192,G192)</f>
        <v>29.4496286421634</v>
      </c>
    </row>
    <row r="193" customFormat="false" ht="15" hidden="false" customHeight="false" outlineLevel="0" collapsed="false">
      <c r="A193" s="13" t="s">
        <v>228</v>
      </c>
      <c r="B193" s="13" t="s">
        <v>63</v>
      </c>
      <c r="C193" s="13" t="s">
        <v>66</v>
      </c>
      <c r="D193" s="15" t="n">
        <v>0.25505</v>
      </c>
      <c r="E193" s="13" t="n">
        <v>0.99769</v>
      </c>
      <c r="F193" s="16" t="n">
        <f aca="false">IF(H193=1,"",D193/E193)</f>
        <v>0.25564052962343</v>
      </c>
      <c r="G193" s="17" t="n">
        <f aca="false">IF(H193=1,"",D193/E193*Notas!$B$3)</f>
        <v>24.2858503142259</v>
      </c>
      <c r="H193" s="13" t="n">
        <v>0</v>
      </c>
      <c r="I193" s="17" t="n">
        <f aca="false">IF(H193=1,D193,G193)</f>
        <v>24.2858503142259</v>
      </c>
    </row>
    <row r="194" customFormat="false" ht="15" hidden="false" customHeight="false" outlineLevel="0" collapsed="false">
      <c r="A194" s="13" t="s">
        <v>228</v>
      </c>
      <c r="B194" s="13" t="s">
        <v>63</v>
      </c>
      <c r="C194" s="13" t="s">
        <v>67</v>
      </c>
      <c r="D194" s="15" t="n">
        <v>0.28965</v>
      </c>
      <c r="E194" s="13" t="n">
        <v>0.99769</v>
      </c>
      <c r="F194" s="16" t="n">
        <f aca="false">IF(H194=1,"",D194/E194)</f>
        <v>0.290320640679971</v>
      </c>
      <c r="G194" s="17" t="n">
        <f aca="false">IF(H194=1,"",D194/E194*Notas!$B$3)</f>
        <v>27.5804608645972</v>
      </c>
      <c r="H194" s="13" t="n">
        <v>0</v>
      </c>
      <c r="I194" s="17" t="n">
        <f aca="false">IF(H194=1,D194,G194)</f>
        <v>27.5804608645972</v>
      </c>
    </row>
    <row r="195" customFormat="false" ht="15" hidden="false" customHeight="false" outlineLevel="0" collapsed="false">
      <c r="A195" s="13" t="s">
        <v>228</v>
      </c>
      <c r="B195" s="13" t="s">
        <v>63</v>
      </c>
      <c r="C195" s="13" t="s">
        <v>68</v>
      </c>
      <c r="D195" s="15" t="n">
        <v>0.19947</v>
      </c>
      <c r="E195" s="13" t="n">
        <v>0.99769</v>
      </c>
      <c r="F195" s="16" t="n">
        <f aca="false">IF(H195=1,"",D195/E195)</f>
        <v>0.199931842556305</v>
      </c>
      <c r="G195" s="17" t="n">
        <f aca="false">IF(H195=1,"",D195/E195*Notas!$B$3)</f>
        <v>18.993525042849</v>
      </c>
      <c r="H195" s="13" t="n">
        <v>0</v>
      </c>
      <c r="I195" s="17" t="n">
        <f aca="false">IF(H195=1,D195,G195)</f>
        <v>18.993525042849</v>
      </c>
    </row>
    <row r="196" customFormat="false" ht="15" hidden="false" customHeight="false" outlineLevel="0" collapsed="false">
      <c r="A196" s="13" t="s">
        <v>228</v>
      </c>
      <c r="B196" s="13" t="s">
        <v>178</v>
      </c>
      <c r="C196" s="13" t="s">
        <v>179</v>
      </c>
      <c r="D196" s="15" t="n">
        <v>0.56442</v>
      </c>
      <c r="E196" s="13" t="n">
        <v>0.99769</v>
      </c>
      <c r="F196" s="16" t="n">
        <f aca="false">IF(H196=1,"",D196/E196)</f>
        <v>0.565726828974932</v>
      </c>
      <c r="G196" s="17" t="n">
        <f aca="false">IF(H196=1,"",D196/E196*Notas!$B$3)</f>
        <v>53.7440487526185</v>
      </c>
      <c r="H196" s="13" t="n">
        <v>0</v>
      </c>
      <c r="I196" s="17" t="n">
        <f aca="false">IF(H196=1,D196,G196)</f>
        <v>53.7440487526185</v>
      </c>
    </row>
    <row r="197" customFormat="false" ht="15" hidden="false" customHeight="false" outlineLevel="0" collapsed="false">
      <c r="A197" s="13" t="s">
        <v>228</v>
      </c>
      <c r="B197" s="13" t="s">
        <v>178</v>
      </c>
      <c r="C197" s="13" t="s">
        <v>180</v>
      </c>
      <c r="D197" s="15" t="n">
        <v>0.30411</v>
      </c>
      <c r="E197" s="13" t="n">
        <v>0.99769</v>
      </c>
      <c r="F197" s="16" t="n">
        <f aca="false">IF(H197=1,"",D197/E197)</f>
        <v>0.304814120618629</v>
      </c>
      <c r="G197" s="17" t="n">
        <f aca="false">IF(H197=1,"",D197/E197*Notas!$B$3)</f>
        <v>28.9573414587698</v>
      </c>
      <c r="H197" s="13" t="n">
        <v>0</v>
      </c>
      <c r="I197" s="17" t="n">
        <f aca="false">IF(H197=1,D197,G197)</f>
        <v>28.9573414587698</v>
      </c>
    </row>
    <row r="198" customFormat="false" ht="15" hidden="false" customHeight="false" outlineLevel="0" collapsed="false">
      <c r="A198" s="13" t="s">
        <v>228</v>
      </c>
      <c r="B198" s="13" t="s">
        <v>178</v>
      </c>
      <c r="C198" s="13" t="s">
        <v>181</v>
      </c>
      <c r="D198" s="15" t="n">
        <v>0.26031</v>
      </c>
      <c r="E198" s="13" t="n">
        <v>0.99769</v>
      </c>
      <c r="F198" s="16" t="n">
        <f aca="false">IF(H198=1,"",D198/E198)</f>
        <v>0.260912708356303</v>
      </c>
      <c r="G198" s="17" t="n">
        <f aca="false">IF(H198=1,"",D198/E198*Notas!$B$3)</f>
        <v>24.7867072938488</v>
      </c>
      <c r="H198" s="13" t="n">
        <v>0</v>
      </c>
      <c r="I198" s="17" t="n">
        <f aca="false">IF(H198=1,D198,G198)</f>
        <v>24.7867072938488</v>
      </c>
    </row>
    <row r="199" customFormat="false" ht="15" hidden="false" customHeight="false" outlineLevel="0" collapsed="false">
      <c r="A199" s="13" t="s">
        <v>228</v>
      </c>
      <c r="B199" s="13" t="s">
        <v>178</v>
      </c>
      <c r="C199" s="13" t="s">
        <v>73</v>
      </c>
      <c r="D199" s="15" t="n">
        <v>0.09917</v>
      </c>
      <c r="E199" s="13" t="n">
        <v>0.99769</v>
      </c>
      <c r="F199" s="16" t="n">
        <f aca="false">IF(H199=1,"",D199/E199)</f>
        <v>0.0993996131062755</v>
      </c>
      <c r="G199" s="17" t="n">
        <f aca="false">IF(H199=1,"",D199/E199*Notas!$B$3)</f>
        <v>9.44296324509617</v>
      </c>
      <c r="H199" s="13" t="n">
        <v>0</v>
      </c>
      <c r="I199" s="17" t="n">
        <f aca="false">IF(H199=1,D199,G199)</f>
        <v>9.44296324509617</v>
      </c>
    </row>
    <row r="200" customFormat="false" ht="15" hidden="false" customHeight="false" outlineLevel="0" collapsed="false">
      <c r="A200" s="13" t="s">
        <v>228</v>
      </c>
      <c r="B200" s="13" t="s">
        <v>69</v>
      </c>
      <c r="C200" s="13" t="s">
        <v>70</v>
      </c>
      <c r="D200" s="15" t="n">
        <v>0.34179</v>
      </c>
      <c r="E200" s="13" t="n">
        <v>0.99769</v>
      </c>
      <c r="F200" s="16" t="n">
        <f aca="false">IF(H200=1,"",D200/E200)</f>
        <v>0.342581362948411</v>
      </c>
      <c r="G200" s="17" t="n">
        <f aca="false">IF(H200=1,"",D200/E200*Notas!$B$3)</f>
        <v>32.545229480099</v>
      </c>
      <c r="H200" s="13" t="n">
        <v>0</v>
      </c>
      <c r="I200" s="17" t="n">
        <f aca="false">IF(H200=1,D200,G200)</f>
        <v>32.545229480099</v>
      </c>
    </row>
    <row r="201" customFormat="false" ht="15" hidden="false" customHeight="false" outlineLevel="0" collapsed="false">
      <c r="A201" s="13" t="s">
        <v>228</v>
      </c>
      <c r="B201" s="13" t="s">
        <v>69</v>
      </c>
      <c r="C201" s="13" t="s">
        <v>71</v>
      </c>
      <c r="D201" s="15" t="n">
        <v>0.07798</v>
      </c>
      <c r="E201" s="13" t="n">
        <v>0.99769</v>
      </c>
      <c r="F201" s="16" t="n">
        <f aca="false">IF(H201=1,"",D201/E201)</f>
        <v>0.0781605508725155</v>
      </c>
      <c r="G201" s="17" t="n">
        <f aca="false">IF(H201=1,"",D201/E201*Notas!$B$3)</f>
        <v>7.42525233288897</v>
      </c>
      <c r="H201" s="13" t="n">
        <v>0</v>
      </c>
      <c r="I201" s="17" t="n">
        <f aca="false">IF(H201=1,D201,G201)</f>
        <v>7.42525233288897</v>
      </c>
    </row>
    <row r="202" customFormat="false" ht="15" hidden="false" customHeight="false" outlineLevel="0" collapsed="false">
      <c r="A202" s="13" t="s">
        <v>228</v>
      </c>
      <c r="B202" s="13" t="s">
        <v>69</v>
      </c>
      <c r="C202" s="13" t="s">
        <v>72</v>
      </c>
      <c r="D202" s="15" t="n">
        <v>0.26381</v>
      </c>
      <c r="E202" s="13" t="n">
        <v>0.99769</v>
      </c>
      <c r="F202" s="16" t="n">
        <f aca="false">IF(H202=1,"",D202/E202)</f>
        <v>0.264420812075895</v>
      </c>
      <c r="G202" s="17" t="n">
        <f aca="false">IF(H202=1,"",D202/E202*Notas!$B$3)</f>
        <v>25.1199771472101</v>
      </c>
      <c r="H202" s="13" t="n">
        <v>0</v>
      </c>
      <c r="I202" s="17" t="n">
        <f aca="false">IF(H202=1,D202,G202)</f>
        <v>25.1199771472101</v>
      </c>
    </row>
    <row r="203" customFormat="false" ht="15" hidden="false" customHeight="false" outlineLevel="0" collapsed="false">
      <c r="A203" s="13" t="s">
        <v>228</v>
      </c>
      <c r="B203" s="13" t="s">
        <v>69</v>
      </c>
      <c r="C203" s="13" t="s">
        <v>73</v>
      </c>
      <c r="D203" s="15" t="n">
        <v>0.34455</v>
      </c>
      <c r="E203" s="13" t="n">
        <v>0.99769</v>
      </c>
      <c r="F203" s="16" t="n">
        <f aca="false">IF(H203=1,"",D203/E203)</f>
        <v>0.345347753310147</v>
      </c>
      <c r="G203" s="17" t="n">
        <f aca="false">IF(H203=1,"",D203/E203*Notas!$B$3)</f>
        <v>32.8080365644639</v>
      </c>
      <c r="H203" s="13" t="n">
        <v>0</v>
      </c>
      <c r="I203" s="17" t="n">
        <f aca="false">IF(H203=1,D203,G203)</f>
        <v>32.8080365644639</v>
      </c>
    </row>
    <row r="204" customFormat="false" ht="15" hidden="false" customHeight="false" outlineLevel="0" collapsed="false">
      <c r="A204" s="13" t="s">
        <v>228</v>
      </c>
      <c r="B204" s="13" t="s">
        <v>69</v>
      </c>
      <c r="C204" s="13" t="s">
        <v>74</v>
      </c>
      <c r="D204" s="15" t="n">
        <v>0.20898</v>
      </c>
      <c r="E204" s="13" t="n">
        <v>0.99769</v>
      </c>
      <c r="F204" s="16" t="n">
        <f aca="false">IF(H204=1,"",D204/E204)</f>
        <v>0.209463861520111</v>
      </c>
      <c r="G204" s="17" t="n">
        <f aca="false">IF(H204=1,"",D204/E204*Notas!$B$3)</f>
        <v>19.8990668444106</v>
      </c>
      <c r="H204" s="13" t="n">
        <v>0</v>
      </c>
      <c r="I204" s="17" t="n">
        <f aca="false">IF(H204=1,D204,G204)</f>
        <v>19.8990668444106</v>
      </c>
    </row>
    <row r="205" customFormat="false" ht="15" hidden="false" customHeight="false" outlineLevel="0" collapsed="false">
      <c r="A205" s="13" t="s">
        <v>228</v>
      </c>
      <c r="B205" s="13" t="s">
        <v>75</v>
      </c>
      <c r="C205" s="13" t="s">
        <v>76</v>
      </c>
      <c r="D205" s="15" t="n">
        <v>0.21793</v>
      </c>
      <c r="E205" s="13" t="n">
        <v>0.99769</v>
      </c>
      <c r="F205" s="16" t="n">
        <f aca="false">IF(H205=1,"",D205/E205)</f>
        <v>0.218434583888783</v>
      </c>
      <c r="G205" s="17" t="n">
        <f aca="false">IF(H205=1,"",D205/E205*Notas!$B$3)</f>
        <v>20.7512854694344</v>
      </c>
      <c r="H205" s="13" t="n">
        <v>0</v>
      </c>
      <c r="I205" s="17" t="n">
        <f aca="false">IF(H205=1,D205,G205)</f>
        <v>20.7512854694344</v>
      </c>
    </row>
    <row r="206" customFormat="false" ht="15" hidden="false" customHeight="false" outlineLevel="0" collapsed="false">
      <c r="A206" s="13" t="s">
        <v>228</v>
      </c>
      <c r="B206" s="13" t="s">
        <v>75</v>
      </c>
      <c r="C206" s="13" t="s">
        <v>77</v>
      </c>
      <c r="D206" s="15" t="n">
        <v>0.21793</v>
      </c>
      <c r="E206" s="13" t="n">
        <v>0.99769</v>
      </c>
      <c r="F206" s="16" t="n">
        <f aca="false">IF(H206=1,"",D206/E206)</f>
        <v>0.218434583888783</v>
      </c>
      <c r="G206" s="17" t="n">
        <f aca="false">IF(H206=1,"",D206/E206*Notas!$B$3)</f>
        <v>20.7512854694344</v>
      </c>
      <c r="H206" s="13" t="n">
        <v>0</v>
      </c>
      <c r="I206" s="17" t="n">
        <f aca="false">IF(H206=1,D206,G206)</f>
        <v>20.7512854694344</v>
      </c>
    </row>
    <row r="207" customFormat="false" ht="15" hidden="false" customHeight="false" outlineLevel="0" collapsed="false">
      <c r="A207" s="13" t="s">
        <v>228</v>
      </c>
      <c r="B207" s="13" t="s">
        <v>75</v>
      </c>
      <c r="C207" s="13" t="s">
        <v>78</v>
      </c>
      <c r="D207" s="15" t="n">
        <v>0.34078</v>
      </c>
      <c r="E207" s="13" t="n">
        <v>0.99769</v>
      </c>
      <c r="F207" s="16" t="n">
        <f aca="false">IF(H207=1,"",D207/E207)</f>
        <v>0.341569024446471</v>
      </c>
      <c r="G207" s="17" t="n">
        <f aca="false">IF(H207=1,"",D207/E207*Notas!$B$3)</f>
        <v>32.4490573224148</v>
      </c>
      <c r="H207" s="13" t="n">
        <v>0</v>
      </c>
      <c r="I207" s="17" t="n">
        <f aca="false">IF(H207=1,D207,G207)</f>
        <v>32.4490573224148</v>
      </c>
    </row>
    <row r="208" customFormat="false" ht="15" hidden="false" customHeight="false" outlineLevel="0" collapsed="false">
      <c r="A208" s="13" t="s">
        <v>228</v>
      </c>
      <c r="B208" s="13" t="s">
        <v>35</v>
      </c>
      <c r="C208" s="13" t="s">
        <v>79</v>
      </c>
      <c r="D208" s="15" t="n">
        <v>21.84348</v>
      </c>
      <c r="E208" s="13" t="n">
        <v>0.99769</v>
      </c>
      <c r="F208" s="16" t="str">
        <f aca="false">IF(H208=1,"",D208/E208)</f>
        <v/>
      </c>
      <c r="G208" s="17" t="str">
        <f aca="false">IF(H208=1,"",D208/E208*Notas!$B$3)</f>
        <v/>
      </c>
      <c r="H208" s="13" t="n">
        <v>1</v>
      </c>
      <c r="I208" s="17" t="n">
        <f aca="false">IF(H208=1,D208,G208)</f>
        <v>21.84348</v>
      </c>
    </row>
    <row r="209" customFormat="false" ht="15" hidden="false" customHeight="false" outlineLevel="0" collapsed="false">
      <c r="A209" s="13" t="s">
        <v>228</v>
      </c>
      <c r="B209" s="13" t="s">
        <v>35</v>
      </c>
      <c r="C209" s="13" t="s">
        <v>80</v>
      </c>
      <c r="D209" s="15" t="n">
        <v>34.15652</v>
      </c>
      <c r="E209" s="13" t="n">
        <v>0.99769</v>
      </c>
      <c r="F209" s="16" t="str">
        <f aca="false">IF(H209=1,"",D209/E209)</f>
        <v/>
      </c>
      <c r="G209" s="17" t="str">
        <f aca="false">IF(H209=1,"",D209/E209*Notas!$B$3)</f>
        <v/>
      </c>
      <c r="H209" s="13" t="n">
        <v>1</v>
      </c>
      <c r="I209" s="17" t="n">
        <f aca="false">IF(H209=1,D209,G209)</f>
        <v>34.15652</v>
      </c>
    </row>
    <row r="210" customFormat="false" ht="15" hidden="false" customHeight="false" outlineLevel="0" collapsed="false">
      <c r="A210" s="13" t="s">
        <v>228</v>
      </c>
      <c r="B210" s="13" t="s">
        <v>75</v>
      </c>
      <c r="C210" s="13" t="s">
        <v>81</v>
      </c>
      <c r="D210" s="15" t="n">
        <v>0.13795</v>
      </c>
      <c r="E210" s="13" t="n">
        <v>0.99769</v>
      </c>
      <c r="F210" s="16" t="n">
        <f aca="false">IF(H210=1,"",D210/E210)</f>
        <v>0.138269402319358</v>
      </c>
      <c r="G210" s="17" t="n">
        <f aca="false">IF(H210=1,"",D210/E210*Notas!$B$3)</f>
        <v>13.135593220339</v>
      </c>
      <c r="H210" s="13" t="n">
        <v>0</v>
      </c>
      <c r="I210" s="17" t="n">
        <f aca="false">IF(H210=1,D210,G210)</f>
        <v>13.135593220339</v>
      </c>
    </row>
    <row r="211" customFormat="false" ht="15" hidden="false" customHeight="false" outlineLevel="0" collapsed="false">
      <c r="A211" s="13" t="s">
        <v>228</v>
      </c>
      <c r="B211" s="13" t="s">
        <v>75</v>
      </c>
      <c r="C211" s="13" t="s">
        <v>82</v>
      </c>
      <c r="D211" s="15" t="n">
        <v>0.135</v>
      </c>
      <c r="E211" s="13" t="n">
        <v>0.99769</v>
      </c>
      <c r="F211" s="16" t="n">
        <f aca="false">IF(H211=1,"",D211/E211)</f>
        <v>0.135312572041416</v>
      </c>
      <c r="G211" s="17" t="n">
        <f aca="false">IF(H211=1,"",D211/E211*Notas!$B$3)</f>
        <v>12.8546943439345</v>
      </c>
      <c r="H211" s="13" t="n">
        <v>0</v>
      </c>
      <c r="I211" s="17" t="n">
        <f aca="false">IF(H211=1,D211,G211)</f>
        <v>12.8546943439345</v>
      </c>
    </row>
    <row r="212" customFormat="false" ht="15" hidden="false" customHeight="false" outlineLevel="0" collapsed="false">
      <c r="A212" s="13" t="s">
        <v>228</v>
      </c>
      <c r="B212" s="13" t="s">
        <v>75</v>
      </c>
      <c r="C212" s="13" t="s">
        <v>83</v>
      </c>
      <c r="D212" s="15" t="n">
        <v>0.41449</v>
      </c>
      <c r="E212" s="13" t="n">
        <v>0.99769</v>
      </c>
      <c r="F212" s="16" t="n">
        <f aca="false">IF(H212=1,"",D212/E212)</f>
        <v>0.415449688781084</v>
      </c>
      <c r="G212" s="17" t="n">
        <f aca="false">IF(H212=1,"",D212/E212*Notas!$B$3)</f>
        <v>39.467720434203</v>
      </c>
      <c r="H212" s="13" t="n">
        <v>0</v>
      </c>
      <c r="I212" s="17" t="n">
        <f aca="false">IF(H212=1,D212,G212)</f>
        <v>39.467720434203</v>
      </c>
    </row>
    <row r="213" customFormat="false" ht="15" hidden="false" customHeight="false" outlineLevel="0" collapsed="false">
      <c r="A213" s="13" t="s">
        <v>228</v>
      </c>
      <c r="B213" s="13" t="s">
        <v>75</v>
      </c>
      <c r="C213" s="13" t="s">
        <v>84</v>
      </c>
      <c r="D213" s="15" t="n">
        <v>0.12857</v>
      </c>
      <c r="E213" s="13" t="n">
        <v>0.99769</v>
      </c>
      <c r="F213" s="16" t="n">
        <f aca="false">IF(H213=1,"",D213/E213)</f>
        <v>0.12886768435085</v>
      </c>
      <c r="G213" s="17" t="n">
        <f aca="false">IF(H213=1,"",D213/E213*Notas!$B$3)</f>
        <v>12.2424300133308</v>
      </c>
      <c r="H213" s="13" t="n">
        <v>0</v>
      </c>
      <c r="I213" s="17" t="n">
        <f aca="false">IF(H213=1,D213,G213)</f>
        <v>12.2424300133308</v>
      </c>
    </row>
    <row r="214" customFormat="false" ht="15" hidden="false" customHeight="false" outlineLevel="0" collapsed="false">
      <c r="A214" s="13" t="s">
        <v>228</v>
      </c>
      <c r="B214" s="13" t="s">
        <v>75</v>
      </c>
      <c r="C214" s="13" t="s">
        <v>85</v>
      </c>
      <c r="D214" s="15" t="n">
        <v>0.12411</v>
      </c>
      <c r="E214" s="13" t="n">
        <v>0.99769</v>
      </c>
      <c r="F214" s="16" t="n">
        <f aca="false">IF(H214=1,"",D214/E214)</f>
        <v>0.124397357896741</v>
      </c>
      <c r="G214" s="17" t="n">
        <f aca="false">IF(H214=1,"",D214/E214*Notas!$B$3)</f>
        <v>11.8177490001904</v>
      </c>
      <c r="H214" s="13" t="n">
        <v>0</v>
      </c>
      <c r="I214" s="17" t="n">
        <f aca="false">IF(H214=1,D214,G214)</f>
        <v>11.8177490001904</v>
      </c>
    </row>
    <row r="215" customFormat="false" ht="15" hidden="false" customHeight="false" outlineLevel="0" collapsed="false">
      <c r="A215" s="13" t="s">
        <v>228</v>
      </c>
      <c r="B215" s="13" t="s">
        <v>75</v>
      </c>
      <c r="C215" s="13" t="s">
        <v>86</v>
      </c>
      <c r="D215" s="15" t="n">
        <v>0.39903</v>
      </c>
      <c r="E215" s="13" t="n">
        <v>0.99769</v>
      </c>
      <c r="F215" s="16" t="n">
        <f aca="false">IF(H215=1,"",D215/E215)</f>
        <v>0.399953893493971</v>
      </c>
      <c r="G215" s="17" t="n">
        <f aca="false">IF(H215=1,"",D215/E215*Notas!$B$3)</f>
        <v>37.9956198819273</v>
      </c>
      <c r="H215" s="13" t="n">
        <v>0</v>
      </c>
      <c r="I215" s="17" t="n">
        <f aca="false">IF(H215=1,D215,G215)</f>
        <v>37.9956198819273</v>
      </c>
    </row>
    <row r="216" customFormat="false" ht="15" hidden="false" customHeight="false" outlineLevel="0" collapsed="false">
      <c r="A216" s="13" t="s">
        <v>228</v>
      </c>
      <c r="B216" s="13" t="s">
        <v>75</v>
      </c>
      <c r="C216" s="13" t="s">
        <v>87</v>
      </c>
      <c r="D216" s="15" t="n">
        <v>0.02521</v>
      </c>
      <c r="E216" s="13" t="n">
        <v>0.99769</v>
      </c>
      <c r="F216" s="16" t="n">
        <f aca="false">IF(H216=1,"",D216/E216)</f>
        <v>0.0252683699345488</v>
      </c>
      <c r="G216" s="17" t="n">
        <f aca="false">IF(H216=1,"",D216/E216*Notas!$B$3)</f>
        <v>2.40049514378214</v>
      </c>
      <c r="H216" s="13" t="n">
        <v>0</v>
      </c>
      <c r="I216" s="17" t="n">
        <f aca="false">IF(H216=1,D216,G216)</f>
        <v>2.40049514378214</v>
      </c>
    </row>
    <row r="217" customFormat="false" ht="15" hidden="false" customHeight="false" outlineLevel="0" collapsed="false">
      <c r="A217" s="13" t="s">
        <v>228</v>
      </c>
      <c r="B217" s="13" t="s">
        <v>75</v>
      </c>
      <c r="C217" s="13" t="s">
        <v>88</v>
      </c>
      <c r="D217" s="15" t="n">
        <v>0.14022</v>
      </c>
      <c r="E217" s="13" t="n">
        <v>0.99769</v>
      </c>
      <c r="F217" s="16" t="n">
        <f aca="false">IF(H217=1,"",D217/E217)</f>
        <v>0.14054465816035</v>
      </c>
      <c r="G217" s="17" t="n">
        <f aca="false">IF(H217=1,"",D217/E217*Notas!$B$3)</f>
        <v>13.3517425252333</v>
      </c>
      <c r="H217" s="13" t="n">
        <v>0</v>
      </c>
      <c r="I217" s="17" t="n">
        <f aca="false">IF(H217=1,D217,G217)</f>
        <v>13.3517425252333</v>
      </c>
    </row>
    <row r="218" customFormat="false" ht="15" hidden="false" customHeight="false" outlineLevel="0" collapsed="false">
      <c r="A218" s="13" t="s">
        <v>228</v>
      </c>
      <c r="B218" s="13" t="s">
        <v>75</v>
      </c>
      <c r="C218" s="13" t="s">
        <v>89</v>
      </c>
      <c r="D218" s="15" t="n">
        <v>0.13322</v>
      </c>
      <c r="E218" s="13" t="n">
        <v>0.99769</v>
      </c>
      <c r="F218" s="16" t="n">
        <f aca="false">IF(H218=1,"",D218/E218)</f>
        <v>0.133528450721166</v>
      </c>
      <c r="G218" s="17" t="n">
        <f aca="false">IF(H218=1,"",D218/E218*Notas!$B$3)</f>
        <v>12.6852028185108</v>
      </c>
      <c r="H218" s="13" t="n">
        <v>0</v>
      </c>
      <c r="I218" s="17" t="n">
        <f aca="false">IF(H218=1,D218,G218)</f>
        <v>12.6852028185108</v>
      </c>
    </row>
    <row r="219" customFormat="false" ht="15" hidden="false" customHeight="false" outlineLevel="0" collapsed="false">
      <c r="A219" s="13" t="s">
        <v>228</v>
      </c>
      <c r="B219" s="13" t="s">
        <v>75</v>
      </c>
      <c r="C219" s="13" t="s">
        <v>90</v>
      </c>
      <c r="D219" s="15" t="n">
        <v>0.41391</v>
      </c>
      <c r="E219" s="13" t="n">
        <v>0.99769</v>
      </c>
      <c r="F219" s="16" t="n">
        <f aca="false">IF(H219=1,"",D219/E219)</f>
        <v>0.41486834587898</v>
      </c>
      <c r="G219" s="17" t="n">
        <f aca="false">IF(H219=1,"",D219/E219*Notas!$B$3)</f>
        <v>39.4124928585031</v>
      </c>
      <c r="H219" s="13" t="n">
        <v>0</v>
      </c>
      <c r="I219" s="17" t="n">
        <f aca="false">IF(H219=1,D219,G219)</f>
        <v>39.4124928585031</v>
      </c>
    </row>
    <row r="220" customFormat="false" ht="15" hidden="false" customHeight="false" outlineLevel="0" collapsed="false">
      <c r="A220" s="13" t="s">
        <v>228</v>
      </c>
      <c r="B220" s="13" t="s">
        <v>75</v>
      </c>
      <c r="C220" s="13" t="s">
        <v>91</v>
      </c>
      <c r="D220" s="15" t="n">
        <v>0.12729</v>
      </c>
      <c r="E220" s="13" t="n">
        <v>0.99769</v>
      </c>
      <c r="F220" s="16" t="n">
        <f aca="false">IF(H220=1,"",D220/E220)</f>
        <v>0.127584720704828</v>
      </c>
      <c r="G220" s="17" t="n">
        <f aca="false">IF(H220=1,"",D220/E220*Notas!$B$3)</f>
        <v>12.1205484669587</v>
      </c>
      <c r="H220" s="13" t="n">
        <v>0</v>
      </c>
      <c r="I220" s="17" t="n">
        <f aca="false">IF(H220=1,D220,G220)</f>
        <v>12.1205484669587</v>
      </c>
    </row>
    <row r="221" customFormat="false" ht="15" hidden="false" customHeight="false" outlineLevel="0" collapsed="false">
      <c r="A221" s="13" t="s">
        <v>228</v>
      </c>
      <c r="B221" s="13" t="s">
        <v>75</v>
      </c>
      <c r="C221" s="13" t="s">
        <v>92</v>
      </c>
      <c r="D221" s="15" t="n">
        <v>0.12385</v>
      </c>
      <c r="E221" s="13" t="n">
        <v>0.99769</v>
      </c>
      <c r="F221" s="16" t="n">
        <f aca="false">IF(H221=1,"",D221/E221)</f>
        <v>0.124136755906143</v>
      </c>
      <c r="G221" s="17" t="n">
        <f aca="false">IF(H221=1,"",D221/E221*Notas!$B$3)</f>
        <v>11.7929918110836</v>
      </c>
      <c r="H221" s="13" t="n">
        <v>0</v>
      </c>
      <c r="I221" s="17" t="n">
        <f aca="false">IF(H221=1,D221,G221)</f>
        <v>11.7929918110836</v>
      </c>
    </row>
    <row r="222" customFormat="false" ht="15" hidden="false" customHeight="false" outlineLevel="0" collapsed="false">
      <c r="A222" s="13" t="s">
        <v>228</v>
      </c>
      <c r="B222" s="13" t="s">
        <v>75</v>
      </c>
      <c r="C222" s="13" t="s">
        <v>93</v>
      </c>
      <c r="D222" s="15" t="n">
        <v>0.39178</v>
      </c>
      <c r="E222" s="13" t="n">
        <v>0.99769</v>
      </c>
      <c r="F222" s="16" t="n">
        <f aca="false">IF(H222=1,"",D222/E222)</f>
        <v>0.392687107217673</v>
      </c>
      <c r="G222" s="17" t="n">
        <f aca="false">IF(H222=1,"",D222/E222*Notas!$B$3)</f>
        <v>37.3052751856789</v>
      </c>
      <c r="H222" s="13" t="n">
        <v>0</v>
      </c>
      <c r="I222" s="17" t="n">
        <f aca="false">IF(H222=1,D222,G222)</f>
        <v>37.3052751856789</v>
      </c>
    </row>
    <row r="223" customFormat="false" ht="15" hidden="false" customHeight="false" outlineLevel="0" collapsed="false">
      <c r="A223" s="13" t="s">
        <v>228</v>
      </c>
      <c r="B223" s="13" t="s">
        <v>75</v>
      </c>
      <c r="C223" s="13" t="s">
        <v>94</v>
      </c>
      <c r="D223" s="15" t="n">
        <v>0.03893</v>
      </c>
      <c r="E223" s="13" t="n">
        <v>0.99769</v>
      </c>
      <c r="F223" s="16" t="n">
        <f aca="false">IF(H223=1,"",D223/E223)</f>
        <v>0.0390201365153505</v>
      </c>
      <c r="G223" s="17" t="n">
        <f aca="false">IF(H223=1,"",D223/E223*Notas!$B$3)</f>
        <v>3.70691296895829</v>
      </c>
      <c r="H223" s="13" t="n">
        <v>0</v>
      </c>
      <c r="I223" s="17" t="n">
        <f aca="false">IF(H223=1,D223,G223)</f>
        <v>3.70691296895829</v>
      </c>
    </row>
    <row r="224" customFormat="false" ht="15" hidden="false" customHeight="false" outlineLevel="0" collapsed="false">
      <c r="A224" s="13" t="s">
        <v>228</v>
      </c>
      <c r="B224" s="13" t="s">
        <v>75</v>
      </c>
      <c r="C224" s="13" t="s">
        <v>95</v>
      </c>
      <c r="D224" s="15" t="n">
        <v>0.17973</v>
      </c>
      <c r="E224" s="13" t="n">
        <v>0.99769</v>
      </c>
      <c r="F224" s="16" t="n">
        <f aca="false">IF(H224=1,"",D224/E224)</f>
        <v>0.180146137577805</v>
      </c>
      <c r="G224" s="17" t="n">
        <f aca="false">IF(H224=1,"",D224/E224*Notas!$B$3)</f>
        <v>17.1138830698915</v>
      </c>
      <c r="H224" s="13" t="n">
        <v>0</v>
      </c>
      <c r="I224" s="17" t="n">
        <f aca="false">IF(H224=1,D224,G224)</f>
        <v>17.1138830698915</v>
      </c>
    </row>
    <row r="225" customFormat="false" ht="15" hidden="false" customHeight="false" outlineLevel="0" collapsed="false">
      <c r="A225" s="13" t="s">
        <v>228</v>
      </c>
      <c r="B225" s="13" t="s">
        <v>75</v>
      </c>
      <c r="C225" s="13" t="s">
        <v>96</v>
      </c>
      <c r="D225" s="15" t="n">
        <v>0.21159</v>
      </c>
      <c r="E225" s="13" t="n">
        <v>0.99769</v>
      </c>
      <c r="F225" s="16" t="n">
        <f aca="false">IF(H225=1,"",D225/E225)</f>
        <v>0.212079904579579</v>
      </c>
      <c r="G225" s="17" t="n">
        <f aca="false">IF(H225=1,"",D225/E225*Notas!$B$3)</f>
        <v>20.14759093506</v>
      </c>
      <c r="H225" s="13" t="n">
        <v>0</v>
      </c>
      <c r="I225" s="17" t="n">
        <f aca="false">IF(H225=1,D225,G225)</f>
        <v>20.14759093506</v>
      </c>
    </row>
    <row r="226" customFormat="false" ht="15" hidden="false" customHeight="false" outlineLevel="0" collapsed="false">
      <c r="A226" s="13" t="s">
        <v>228</v>
      </c>
      <c r="B226" s="13" t="s">
        <v>75</v>
      </c>
      <c r="C226" s="13" t="s">
        <v>97</v>
      </c>
      <c r="D226" s="15" t="n">
        <v>0.62126</v>
      </c>
      <c r="E226" s="13" t="n">
        <v>0.99769</v>
      </c>
      <c r="F226" s="16" t="n">
        <f aca="false">IF(H226=1,"",D226/E226)</f>
        <v>0.62269843338111</v>
      </c>
      <c r="G226" s="17" t="n">
        <f aca="false">IF(H226=1,"",D226/E226*Notas!$B$3)</f>
        <v>59.1563511712055</v>
      </c>
      <c r="H226" s="13" t="n">
        <v>0</v>
      </c>
      <c r="I226" s="17" t="n">
        <f aca="false">IF(H226=1,D226,G226)</f>
        <v>59.1563511712055</v>
      </c>
    </row>
    <row r="227" customFormat="false" ht="15" hidden="false" customHeight="false" outlineLevel="0" collapsed="false">
      <c r="A227" s="13" t="s">
        <v>228</v>
      </c>
      <c r="B227" s="13" t="s">
        <v>75</v>
      </c>
      <c r="C227" s="13" t="s">
        <v>98</v>
      </c>
      <c r="D227" s="15" t="n">
        <v>0.16407</v>
      </c>
      <c r="E227" s="13" t="n">
        <v>0.99769</v>
      </c>
      <c r="F227" s="16" t="n">
        <f aca="false">IF(H227=1,"",D227/E227)</f>
        <v>0.164449879221001</v>
      </c>
      <c r="G227" s="17" t="n">
        <f aca="false">IF(H227=1,"",D227/E227*Notas!$B$3)</f>
        <v>15.622738525995</v>
      </c>
      <c r="H227" s="13" t="n">
        <v>0</v>
      </c>
      <c r="I227" s="17" t="n">
        <f aca="false">IF(H227=1,D227,G227)</f>
        <v>15.622738525995</v>
      </c>
    </row>
    <row r="228" customFormat="false" ht="15" hidden="false" customHeight="false" outlineLevel="0" collapsed="false">
      <c r="A228" s="13" t="s">
        <v>228</v>
      </c>
      <c r="B228" s="13" t="s">
        <v>75</v>
      </c>
      <c r="C228" s="13" t="s">
        <v>99</v>
      </c>
      <c r="D228" s="15" t="n">
        <v>0.21496</v>
      </c>
      <c r="E228" s="13" t="n">
        <v>0.99769</v>
      </c>
      <c r="F228" s="16" t="n">
        <f aca="false">IF(H228=1,"",D228/E228)</f>
        <v>0.215457707303872</v>
      </c>
      <c r="G228" s="17" t="n">
        <f aca="false">IF(H228=1,"",D228/E228*Notas!$B$3)</f>
        <v>20.4684821938678</v>
      </c>
      <c r="H228" s="13" t="n">
        <v>0</v>
      </c>
      <c r="I228" s="17" t="n">
        <f aca="false">IF(H228=1,D228,G228)</f>
        <v>20.4684821938678</v>
      </c>
    </row>
    <row r="229" customFormat="false" ht="15" hidden="false" customHeight="false" outlineLevel="0" collapsed="false">
      <c r="A229" s="13" t="s">
        <v>228</v>
      </c>
      <c r="B229" s="13" t="s">
        <v>75</v>
      </c>
      <c r="C229" s="13" t="s">
        <v>100</v>
      </c>
      <c r="D229" s="15" t="n">
        <v>0.60872</v>
      </c>
      <c r="E229" s="13" t="n">
        <v>0.99769</v>
      </c>
      <c r="F229" s="16" t="n">
        <f aca="false">IF(H229=1,"",D229/E229)</f>
        <v>0.610129398911486</v>
      </c>
      <c r="G229" s="17" t="n">
        <f aca="false">IF(H229=1,"",D229/E229*Notas!$B$3)</f>
        <v>57.9622928965911</v>
      </c>
      <c r="H229" s="13" t="n">
        <v>0</v>
      </c>
      <c r="I229" s="17" t="n">
        <f aca="false">IF(H229=1,D229,G229)</f>
        <v>57.9622928965911</v>
      </c>
    </row>
    <row r="230" customFormat="false" ht="15" hidden="false" customHeight="false" outlineLevel="0" collapsed="false">
      <c r="A230" s="13" t="s">
        <v>228</v>
      </c>
      <c r="B230" s="13" t="s">
        <v>75</v>
      </c>
      <c r="C230" s="13" t="s">
        <v>101</v>
      </c>
      <c r="D230" s="15" t="n">
        <v>0.03438</v>
      </c>
      <c r="E230" s="13" t="n">
        <v>0.99769</v>
      </c>
      <c r="F230" s="16" t="n">
        <f aca="false">IF(H230=1,"",D230/E230)</f>
        <v>0.0344596016798805</v>
      </c>
      <c r="G230" s="17" t="n">
        <f aca="false">IF(H230=1,"",D230/E230*Notas!$B$3)</f>
        <v>3.27366215958865</v>
      </c>
      <c r="H230" s="13" t="n">
        <v>0</v>
      </c>
      <c r="I230" s="17" t="n">
        <f aca="false">IF(H230=1,D230,G230)</f>
        <v>3.27366215958865</v>
      </c>
    </row>
    <row r="231" customFormat="false" ht="15" hidden="false" customHeight="false" outlineLevel="0" collapsed="false">
      <c r="A231" s="13" t="s">
        <v>228</v>
      </c>
      <c r="B231" s="13" t="s">
        <v>102</v>
      </c>
      <c r="C231" s="13" t="s">
        <v>103</v>
      </c>
      <c r="D231" s="15" t="n">
        <v>0.24744</v>
      </c>
      <c r="E231" s="13" t="n">
        <v>0.99769</v>
      </c>
      <c r="F231" s="16" t="n">
        <f aca="false">IF(H231=1,"",D231/E231)</f>
        <v>0.248012909821688</v>
      </c>
      <c r="G231" s="17" t="n">
        <f aca="false">IF(H231=1,"",D231/E231*Notas!$B$3)</f>
        <v>23.5612264330604</v>
      </c>
      <c r="H231" s="13" t="n">
        <v>0</v>
      </c>
      <c r="I231" s="17" t="n">
        <f aca="false">IF(H231=1,D231,G231)</f>
        <v>23.5612264330604</v>
      </c>
    </row>
    <row r="232" customFormat="false" ht="15" hidden="false" customHeight="false" outlineLevel="0" collapsed="false">
      <c r="A232" s="13" t="s">
        <v>228</v>
      </c>
      <c r="B232" s="13" t="s">
        <v>102</v>
      </c>
      <c r="C232" s="13" t="s">
        <v>104</v>
      </c>
      <c r="D232" s="15" t="n">
        <v>0.22763</v>
      </c>
      <c r="E232" s="13" t="n">
        <v>0.99769</v>
      </c>
      <c r="F232" s="16" t="n">
        <f aca="false">IF(H232=1,"",D232/E232)</f>
        <v>0.228157042768796</v>
      </c>
      <c r="G232" s="17" t="n">
        <f aca="false">IF(H232=1,"",D232/E232*Notas!$B$3)</f>
        <v>21.6749190630356</v>
      </c>
      <c r="H232" s="13" t="n">
        <v>0</v>
      </c>
      <c r="I232" s="17" t="n">
        <f aca="false">IF(H232=1,D232,G232)</f>
        <v>21.6749190630356</v>
      </c>
    </row>
    <row r="233" customFormat="false" ht="15" hidden="false" customHeight="false" outlineLevel="0" collapsed="false">
      <c r="A233" s="13" t="s">
        <v>228</v>
      </c>
      <c r="B233" s="13" t="s">
        <v>102</v>
      </c>
      <c r="C233" s="13" t="s">
        <v>105</v>
      </c>
      <c r="D233" s="15" t="n">
        <v>0.10336</v>
      </c>
      <c r="E233" s="13" t="n">
        <v>0.99769</v>
      </c>
      <c r="F233" s="16" t="n">
        <f aca="false">IF(H233=1,"",D233/E233)</f>
        <v>0.103599314416302</v>
      </c>
      <c r="G233" s="17" t="n">
        <f aca="false">IF(H233=1,"",D233/E233*Notas!$B$3)</f>
        <v>9.84193486954866</v>
      </c>
      <c r="H233" s="13" t="n">
        <v>0</v>
      </c>
      <c r="I233" s="17" t="n">
        <f aca="false">IF(H233=1,D233,G233)</f>
        <v>9.84193486954866</v>
      </c>
    </row>
    <row r="234" customFormat="false" ht="15" hidden="false" customHeight="false" outlineLevel="0" collapsed="false">
      <c r="A234" s="13" t="s">
        <v>228</v>
      </c>
      <c r="B234" s="13" t="s">
        <v>102</v>
      </c>
      <c r="C234" s="13" t="s">
        <v>106</v>
      </c>
      <c r="D234" s="15" t="n">
        <v>-0.12989</v>
      </c>
      <c r="E234" s="13" t="n">
        <v>0.99769</v>
      </c>
      <c r="F234" s="16" t="n">
        <f aca="false">IF(H234=1,"",D234/E234)</f>
        <v>-0.130190740610811</v>
      </c>
      <c r="G234" s="17" t="n">
        <f aca="false">IF(H234=1,"",D234/E234*Notas!$B$3)</f>
        <v>-12.368120358027</v>
      </c>
      <c r="H234" s="13" t="n">
        <v>0</v>
      </c>
      <c r="I234" s="17" t="n">
        <f aca="false">IF(H234=1,D234,G234)</f>
        <v>-12.368120358027</v>
      </c>
    </row>
    <row r="235" customFormat="false" ht="15" hidden="false" customHeight="false" outlineLevel="0" collapsed="false">
      <c r="A235" s="13" t="s">
        <v>228</v>
      </c>
      <c r="B235" s="13" t="s">
        <v>102</v>
      </c>
      <c r="C235" s="13" t="s">
        <v>107</v>
      </c>
      <c r="D235" s="15" t="n">
        <v>0.25374</v>
      </c>
      <c r="E235" s="13" t="n">
        <v>0.99769</v>
      </c>
      <c r="F235" s="16" t="n">
        <f aca="false">IF(H235=1,"",D235/E235)</f>
        <v>0.254327496516954</v>
      </c>
      <c r="G235" s="17" t="n">
        <f aca="false">IF(H235=1,"",D235/E235*Notas!$B$3)</f>
        <v>24.1611121691107</v>
      </c>
      <c r="H235" s="13" t="n">
        <v>0</v>
      </c>
      <c r="I235" s="17" t="n">
        <f aca="false">IF(H235=1,D235,G235)</f>
        <v>24.1611121691107</v>
      </c>
    </row>
    <row r="236" customFormat="false" ht="15" hidden="false" customHeight="false" outlineLevel="0" collapsed="false">
      <c r="A236" s="13" t="s">
        <v>228</v>
      </c>
      <c r="B236" s="13" t="s">
        <v>102</v>
      </c>
      <c r="C236" s="13" t="s">
        <v>108</v>
      </c>
      <c r="D236" s="15" t="n">
        <v>0.2044</v>
      </c>
      <c r="E236" s="13" t="n">
        <v>0.99769</v>
      </c>
      <c r="F236" s="16" t="n">
        <f aca="false">IF(H236=1,"",D236/E236)</f>
        <v>0.204873257224188</v>
      </c>
      <c r="G236" s="17" t="n">
        <f aca="false">IF(H236=1,"",D236/E236*Notas!$B$3)</f>
        <v>19.4629594362978</v>
      </c>
      <c r="H236" s="13" t="n">
        <v>0</v>
      </c>
      <c r="I236" s="17" t="n">
        <f aca="false">IF(H236=1,D236,G236)</f>
        <v>19.4629594362978</v>
      </c>
    </row>
    <row r="237" customFormat="false" ht="15" hidden="false" customHeight="false" outlineLevel="0" collapsed="false">
      <c r="A237" s="13" t="s">
        <v>228</v>
      </c>
      <c r="B237" s="13" t="s">
        <v>102</v>
      </c>
      <c r="C237" s="13" t="s">
        <v>109</v>
      </c>
      <c r="D237" s="15" t="n">
        <v>0.11718</v>
      </c>
      <c r="E237" s="13" t="n">
        <v>0.99769</v>
      </c>
      <c r="F237" s="16" t="n">
        <f aca="false">IF(H237=1,"",D237/E237)</f>
        <v>0.117451312531949</v>
      </c>
      <c r="G237" s="17" t="n">
        <f aca="false">IF(H237=1,"",D237/E237*Notas!$B$3)</f>
        <v>11.1578746905351</v>
      </c>
      <c r="H237" s="13" t="n">
        <v>0</v>
      </c>
      <c r="I237" s="17" t="n">
        <f aca="false">IF(H237=1,D237,G237)</f>
        <v>11.1578746905351</v>
      </c>
    </row>
    <row r="238" customFormat="false" ht="15" hidden="false" customHeight="false" outlineLevel="0" collapsed="false">
      <c r="A238" s="13" t="s">
        <v>228</v>
      </c>
      <c r="B238" s="13" t="s">
        <v>102</v>
      </c>
      <c r="C238" s="13" t="s">
        <v>110</v>
      </c>
      <c r="D238" s="15" t="n">
        <v>0.11929</v>
      </c>
      <c r="E238" s="13" t="n">
        <v>0.99769</v>
      </c>
      <c r="F238" s="16" t="n">
        <f aca="false">IF(H238=1,"",D238/E238)</f>
        <v>0.119566197917189</v>
      </c>
      <c r="G238" s="17" t="n">
        <f aca="false">IF(H238=1,"",D238/E238*Notas!$B$3)</f>
        <v>11.3587888021329</v>
      </c>
      <c r="H238" s="13" t="n">
        <v>0</v>
      </c>
      <c r="I238" s="17" t="n">
        <f aca="false">IF(H238=1,D238,G238)</f>
        <v>11.3587888021329</v>
      </c>
    </row>
    <row r="239" customFormat="false" ht="15" hidden="false" customHeight="false" outlineLevel="0" collapsed="false">
      <c r="A239" s="13" t="s">
        <v>228</v>
      </c>
      <c r="B239" s="13" t="s">
        <v>102</v>
      </c>
      <c r="C239" s="13" t="s">
        <v>111</v>
      </c>
      <c r="D239" s="15" t="n">
        <v>0.4652</v>
      </c>
      <c r="E239" s="13" t="n">
        <v>0.99769</v>
      </c>
      <c r="F239" s="16" t="n">
        <f aca="false">IF(H239=1,"",D239/E239)</f>
        <v>0.466277100101234</v>
      </c>
      <c r="G239" s="17" t="n">
        <f aca="false">IF(H239=1,"",D239/E239*Notas!$B$3)</f>
        <v>44.2963245096172</v>
      </c>
      <c r="H239" s="13" t="n">
        <v>0</v>
      </c>
      <c r="I239" s="17" t="n">
        <f aca="false">IF(H239=1,D239,G239)</f>
        <v>44.2963245096172</v>
      </c>
    </row>
    <row r="240" customFormat="false" ht="15" hidden="false" customHeight="false" outlineLevel="0" collapsed="false">
      <c r="A240" s="13" t="s">
        <v>228</v>
      </c>
      <c r="B240" s="13" t="s">
        <v>102</v>
      </c>
      <c r="C240" s="13" t="s">
        <v>112</v>
      </c>
      <c r="D240" s="15" t="n">
        <v>0.11718</v>
      </c>
      <c r="E240" s="13" t="n">
        <v>0.99769</v>
      </c>
      <c r="F240" s="16" t="n">
        <f aca="false">IF(H240=1,"",D240/E240)</f>
        <v>0.117451312531949</v>
      </c>
      <c r="G240" s="17" t="n">
        <f aca="false">IF(H240=1,"",D240/E240*Notas!$B$3)</f>
        <v>11.1578746905351</v>
      </c>
      <c r="H240" s="13" t="n">
        <v>0</v>
      </c>
      <c r="I240" s="17" t="n">
        <f aca="false">IF(H240=1,D240,G240)</f>
        <v>11.1578746905351</v>
      </c>
    </row>
    <row r="241" customFormat="false" ht="15" hidden="false" customHeight="false" outlineLevel="0" collapsed="false">
      <c r="A241" s="13" t="s">
        <v>228</v>
      </c>
      <c r="B241" s="13" t="s">
        <v>17</v>
      </c>
      <c r="C241" s="13" t="s">
        <v>113</v>
      </c>
      <c r="D241" s="15" t="n">
        <v>0</v>
      </c>
      <c r="E241" s="13" t="n">
        <v>0.99769</v>
      </c>
      <c r="F241" s="16" t="str">
        <f aca="false">IF(H241=1,"",D241/E241)</f>
        <v/>
      </c>
      <c r="G241" s="17" t="str">
        <f aca="false">IF(H241=1,"",D241/E241*Notas!$B$3)</f>
        <v/>
      </c>
      <c r="H241" s="13" t="n">
        <v>1</v>
      </c>
      <c r="I241" s="17" t="n">
        <f aca="false">IF(H241=1,D241,G241)</f>
        <v>0</v>
      </c>
    </row>
    <row r="242" customFormat="false" ht="15" hidden="false" customHeight="false" outlineLevel="0" collapsed="false">
      <c r="A242" s="13" t="s">
        <v>228</v>
      </c>
      <c r="B242" s="13" t="s">
        <v>114</v>
      </c>
      <c r="C242" s="13" t="s">
        <v>115</v>
      </c>
      <c r="D242" s="15" t="n">
        <v>0.49055</v>
      </c>
      <c r="E242" s="13" t="n">
        <v>0.99769</v>
      </c>
      <c r="F242" s="16" t="n">
        <f aca="false">IF(H242=1,"",D242/E242)</f>
        <v>0.491685794184566</v>
      </c>
      <c r="G242" s="17" t="n">
        <f aca="false">IF(H242=1,"",D242/E242*Notas!$B$3)</f>
        <v>46.7101504475338</v>
      </c>
      <c r="H242" s="13" t="n">
        <v>0</v>
      </c>
      <c r="I242" s="17" t="n">
        <f aca="false">IF(H242=1,D242,G242)</f>
        <v>46.7101504475338</v>
      </c>
    </row>
    <row r="243" customFormat="false" ht="15" hidden="false" customHeight="false" outlineLevel="0" collapsed="false">
      <c r="A243" s="13" t="s">
        <v>228</v>
      </c>
      <c r="B243" s="13" t="s">
        <v>114</v>
      </c>
      <c r="C243" s="13" t="s">
        <v>116</v>
      </c>
      <c r="D243" s="15" t="n">
        <v>0.35054</v>
      </c>
      <c r="E243" s="13" t="n">
        <v>0.99769</v>
      </c>
      <c r="F243" s="16" t="n">
        <f aca="false">IF(H243=1,"",D243/E243)</f>
        <v>0.351351622247392</v>
      </c>
      <c r="G243" s="17" t="n">
        <f aca="false">IF(H243=1,"",D243/E243*Notas!$B$3)</f>
        <v>33.3784041135022</v>
      </c>
      <c r="H243" s="13" t="n">
        <v>0</v>
      </c>
      <c r="I243" s="17" t="n">
        <f aca="false">IF(H243=1,D243,G243)</f>
        <v>33.3784041135022</v>
      </c>
    </row>
    <row r="244" customFormat="false" ht="15" hidden="false" customHeight="false" outlineLevel="0" collapsed="false">
      <c r="A244" s="13" t="s">
        <v>228</v>
      </c>
      <c r="B244" s="13" t="s">
        <v>114</v>
      </c>
      <c r="C244" s="13" t="s">
        <v>117</v>
      </c>
      <c r="D244" s="15" t="n">
        <v>0.17587</v>
      </c>
      <c r="E244" s="13" t="n">
        <v>0.99769</v>
      </c>
      <c r="F244" s="16" t="n">
        <f aca="false">IF(H244=1,"",D244/E244)</f>
        <v>0.176277200332769</v>
      </c>
      <c r="G244" s="17" t="n">
        <f aca="false">IF(H244=1,"",D244/E244*Notas!$B$3)</f>
        <v>16.746334031613</v>
      </c>
      <c r="H244" s="13" t="n">
        <v>0</v>
      </c>
      <c r="I244" s="17" t="n">
        <f aca="false">IF(H244=1,D244,G244)</f>
        <v>16.746334031613</v>
      </c>
    </row>
    <row r="245" customFormat="false" ht="15" hidden="false" customHeight="false" outlineLevel="0" collapsed="false">
      <c r="A245" s="13" t="s">
        <v>228</v>
      </c>
      <c r="B245" s="13" t="s">
        <v>114</v>
      </c>
      <c r="C245" s="13" t="s">
        <v>118</v>
      </c>
      <c r="D245" s="15" t="n">
        <v>0.92965</v>
      </c>
      <c r="E245" s="13" t="n">
        <v>0.99769</v>
      </c>
      <c r="F245" s="16" t="n">
        <f aca="false">IF(H245=1,"",D245/E245)</f>
        <v>0.931802463691127</v>
      </c>
      <c r="G245" s="17" t="n">
        <f aca="false">IF(H245=1,"",D245/E245*Notas!$B$3)</f>
        <v>88.521234050657</v>
      </c>
      <c r="H245" s="13" t="n">
        <v>0</v>
      </c>
      <c r="I245" s="17" t="n">
        <f aca="false">IF(H245=1,D245,G245)</f>
        <v>88.521234050657</v>
      </c>
    </row>
    <row r="246" customFormat="false" ht="15" hidden="false" customHeight="false" outlineLevel="0" collapsed="false">
      <c r="A246" s="13" t="s">
        <v>228</v>
      </c>
      <c r="B246" s="13" t="s">
        <v>114</v>
      </c>
      <c r="C246" s="13" t="s">
        <v>119</v>
      </c>
      <c r="D246" s="15" t="n">
        <v>0.35054</v>
      </c>
      <c r="E246" s="13" t="n">
        <v>0.99769</v>
      </c>
      <c r="F246" s="16" t="n">
        <f aca="false">IF(H246=1,"",D246/E246)</f>
        <v>0.351351622247392</v>
      </c>
      <c r="G246" s="17" t="n">
        <f aca="false">IF(H246=1,"",D246/E246*Notas!$B$3)</f>
        <v>33.3784041135022</v>
      </c>
      <c r="H246" s="13" t="n">
        <v>0</v>
      </c>
      <c r="I246" s="17" t="n">
        <f aca="false">IF(H246=1,D246,G246)</f>
        <v>33.3784041135022</v>
      </c>
    </row>
    <row r="247" customFormat="false" ht="15" hidden="false" customHeight="false" outlineLevel="0" collapsed="false">
      <c r="A247" s="13" t="s">
        <v>228</v>
      </c>
      <c r="B247" s="13" t="s">
        <v>114</v>
      </c>
      <c r="C247" s="13" t="s">
        <v>120</v>
      </c>
      <c r="D247" s="15" t="n">
        <v>1</v>
      </c>
      <c r="E247" s="13" t="n">
        <v>0.99769</v>
      </c>
      <c r="F247" s="16" t="str">
        <f aca="false">IF(H247=1,"",D247/E247)</f>
        <v/>
      </c>
      <c r="G247" s="17" t="str">
        <f aca="false">IF(H247=1,"",D247/E247*Notas!$B$3)</f>
        <v/>
      </c>
      <c r="H247" s="13" t="n">
        <v>1</v>
      </c>
      <c r="I247" s="17" t="n">
        <f aca="false">IF(H247=1,D247,G247)</f>
        <v>1</v>
      </c>
    </row>
    <row r="248" customFormat="false" ht="15" hidden="false" customHeight="false" outlineLevel="0" collapsed="false">
      <c r="A248" s="13" t="s">
        <v>228</v>
      </c>
      <c r="B248" s="13" t="s">
        <v>114</v>
      </c>
      <c r="C248" s="13" t="s">
        <v>121</v>
      </c>
      <c r="D248" s="15" t="n">
        <v>0.30928</v>
      </c>
      <c r="E248" s="13" t="n">
        <v>0.99769</v>
      </c>
      <c r="F248" s="16" t="n">
        <f aca="false">IF(H248=1,"",D248/E248)</f>
        <v>0.309996090970141</v>
      </c>
      <c r="G248" s="17" t="n">
        <f aca="false">IF(H248=1,"",D248/E248*Notas!$B$3)</f>
        <v>29.4496286421634</v>
      </c>
      <c r="H248" s="13" t="n">
        <v>0</v>
      </c>
      <c r="I248" s="17" t="n">
        <f aca="false">IF(H248=1,D248,G248)</f>
        <v>29.4496286421634</v>
      </c>
    </row>
    <row r="249" customFormat="false" ht="15" hidden="false" customHeight="false" outlineLevel="0" collapsed="false">
      <c r="A249" s="13" t="s">
        <v>228</v>
      </c>
      <c r="B249" s="13" t="s">
        <v>114</v>
      </c>
      <c r="C249" s="13" t="s">
        <v>122</v>
      </c>
      <c r="D249" s="15" t="n">
        <v>0.24195</v>
      </c>
      <c r="E249" s="13" t="n">
        <v>0.99769</v>
      </c>
      <c r="F249" s="16" t="n">
        <f aca="false">IF(H249=1,"",D249/E249)</f>
        <v>0.242510198558671</v>
      </c>
      <c r="G249" s="17" t="n">
        <f aca="false">IF(H249=1,"",D249/E249*Notas!$B$3)</f>
        <v>23.0384688630737</v>
      </c>
      <c r="H249" s="13" t="n">
        <v>0</v>
      </c>
      <c r="I249" s="17" t="n">
        <f aca="false">IF(H249=1,D249,G249)</f>
        <v>23.0384688630737</v>
      </c>
    </row>
    <row r="250" customFormat="false" ht="15" hidden="false" customHeight="false" outlineLevel="0" collapsed="false">
      <c r="A250" s="13" t="s">
        <v>228</v>
      </c>
      <c r="B250" s="13" t="s">
        <v>114</v>
      </c>
      <c r="C250" s="13" t="s">
        <v>123</v>
      </c>
      <c r="D250" s="15" t="n">
        <v>0.16681</v>
      </c>
      <c r="E250" s="13" t="n">
        <v>0.99769</v>
      </c>
      <c r="F250" s="16" t="n">
        <f aca="false">IF(H250=1,"",D250/E250)</f>
        <v>0.167196223275767</v>
      </c>
      <c r="G250" s="17" t="n">
        <f aca="false">IF(H250=1,"",D250/E250*Notas!$B$3)</f>
        <v>15.8836412111979</v>
      </c>
      <c r="H250" s="13" t="n">
        <v>0</v>
      </c>
      <c r="I250" s="17" t="n">
        <f aca="false">IF(H250=1,D250,G250)</f>
        <v>15.8836412111979</v>
      </c>
    </row>
    <row r="251" customFormat="false" ht="15" hidden="false" customHeight="false" outlineLevel="0" collapsed="false">
      <c r="A251" s="13" t="s">
        <v>228</v>
      </c>
      <c r="B251" s="13" t="s">
        <v>114</v>
      </c>
      <c r="C251" s="13" t="s">
        <v>124</v>
      </c>
      <c r="D251" s="15" t="n">
        <v>0.64648</v>
      </c>
      <c r="E251" s="13" t="n">
        <v>0.99769</v>
      </c>
      <c r="F251" s="16" t="n">
        <f aca="false">IF(H251=1,"",D251/E251)</f>
        <v>0.647976826469144</v>
      </c>
      <c r="G251" s="17" t="n">
        <f aca="false">IF(H251=1,"",D251/E251*Notas!$B$3)</f>
        <v>61.5577985145687</v>
      </c>
      <c r="H251" s="13" t="n">
        <v>0</v>
      </c>
      <c r="I251" s="17" t="n">
        <f aca="false">IF(H251=1,D251,G251)</f>
        <v>61.5577985145687</v>
      </c>
    </row>
    <row r="252" customFormat="false" ht="15" hidden="false" customHeight="false" outlineLevel="0" collapsed="false">
      <c r="A252" s="13" t="s">
        <v>228</v>
      </c>
      <c r="B252" s="13" t="s">
        <v>114</v>
      </c>
      <c r="C252" s="13" t="s">
        <v>125</v>
      </c>
      <c r="D252" s="15" t="n">
        <v>0.48125</v>
      </c>
      <c r="E252" s="13" t="n">
        <v>0.99769</v>
      </c>
      <c r="F252" s="16" t="n">
        <f aca="false">IF(H252=1,"",D252/E252)</f>
        <v>0.482364261443936</v>
      </c>
      <c r="G252" s="17" t="n">
        <f aca="false">IF(H252=1,"",D252/E252*Notas!$B$3)</f>
        <v>45.8246048371739</v>
      </c>
      <c r="H252" s="13" t="n">
        <v>0</v>
      </c>
      <c r="I252" s="17" t="n">
        <f aca="false">IF(H252=1,D252,G252)</f>
        <v>45.8246048371739</v>
      </c>
    </row>
    <row r="253" customFormat="false" ht="15" hidden="false" customHeight="false" outlineLevel="0" collapsed="false">
      <c r="A253" s="13" t="s">
        <v>228</v>
      </c>
      <c r="B253" s="13" t="s">
        <v>114</v>
      </c>
      <c r="C253" s="13" t="s">
        <v>126</v>
      </c>
      <c r="D253" s="15" t="n">
        <v>5</v>
      </c>
      <c r="E253" s="13" t="n">
        <v>0.99769</v>
      </c>
      <c r="F253" s="16" t="str">
        <f aca="false">IF(H253=1,"",D253/E253)</f>
        <v/>
      </c>
      <c r="G253" s="17" t="str">
        <f aca="false">IF(H253=1,"",D253/E253*Notas!$B$3)</f>
        <v/>
      </c>
      <c r="H253" s="13" t="n">
        <v>1</v>
      </c>
      <c r="I253" s="17" t="n">
        <f aca="false">IF(H253=1,D253,G253)</f>
        <v>5</v>
      </c>
    </row>
    <row r="254" customFormat="false" ht="15" hidden="false" customHeight="false" outlineLevel="0" collapsed="false">
      <c r="A254" s="13" t="s">
        <v>228</v>
      </c>
      <c r="B254" s="13" t="s">
        <v>114</v>
      </c>
      <c r="C254" s="13" t="s">
        <v>127</v>
      </c>
      <c r="D254" s="15" t="n">
        <v>0.26361</v>
      </c>
      <c r="E254" s="13" t="n">
        <v>0.99769</v>
      </c>
      <c r="F254" s="16" t="n">
        <f aca="false">IF(H254=1,"",D254/E254)</f>
        <v>0.264220349006204</v>
      </c>
      <c r="G254" s="17" t="n">
        <f aca="false">IF(H254=1,"",D254/E254*Notas!$B$3)</f>
        <v>25.1009331555894</v>
      </c>
      <c r="H254" s="13" t="n">
        <v>0</v>
      </c>
      <c r="I254" s="17" t="n">
        <f aca="false">IF(H254=1,D254,G254)</f>
        <v>25.1009331555894</v>
      </c>
    </row>
    <row r="255" customFormat="false" ht="15" hidden="false" customHeight="false" outlineLevel="0" collapsed="false">
      <c r="A255" s="13" t="s">
        <v>228</v>
      </c>
      <c r="B255" s="13" t="s">
        <v>114</v>
      </c>
      <c r="C255" s="13" t="s">
        <v>128</v>
      </c>
      <c r="D255" s="15" t="n">
        <v>0.26081</v>
      </c>
      <c r="E255" s="13" t="n">
        <v>0.99769</v>
      </c>
      <c r="F255" s="16" t="n">
        <f aca="false">IF(H255=1,"",D255/E255)</f>
        <v>0.261413866030531</v>
      </c>
      <c r="G255" s="17" t="n">
        <f aca="false">IF(H255=1,"",D255/E255*Notas!$B$3)</f>
        <v>24.8343172729004</v>
      </c>
      <c r="H255" s="13" t="n">
        <v>0</v>
      </c>
      <c r="I255" s="17" t="n">
        <f aca="false">IF(H255=1,D255,G255)</f>
        <v>24.8343172729004</v>
      </c>
    </row>
    <row r="256" customFormat="false" ht="15" hidden="false" customHeight="false" outlineLevel="0" collapsed="false">
      <c r="A256" s="13" t="s">
        <v>228</v>
      </c>
      <c r="B256" s="13" t="s">
        <v>114</v>
      </c>
      <c r="C256" s="13" t="s">
        <v>129</v>
      </c>
      <c r="D256" s="15" t="n">
        <v>0.1456</v>
      </c>
      <c r="E256" s="13" t="n">
        <v>0.99769</v>
      </c>
      <c r="F256" s="16" t="n">
        <f aca="false">IF(H256=1,"",D256/E256)</f>
        <v>0.145937114735038</v>
      </c>
      <c r="G256" s="17" t="n">
        <f aca="false">IF(H256=1,"",D256/E256*Notas!$B$3)</f>
        <v>13.8640258998286</v>
      </c>
      <c r="H256" s="13" t="n">
        <v>0</v>
      </c>
      <c r="I256" s="17" t="n">
        <f aca="false">IF(H256=1,D256,G256)</f>
        <v>13.8640258998286</v>
      </c>
    </row>
    <row r="257" customFormat="false" ht="15" hidden="false" customHeight="false" outlineLevel="0" collapsed="false">
      <c r="A257" s="13" t="s">
        <v>228</v>
      </c>
      <c r="B257" s="13" t="s">
        <v>114</v>
      </c>
      <c r="C257" s="13" t="s">
        <v>130</v>
      </c>
      <c r="D257" s="15" t="n">
        <v>0.67415</v>
      </c>
      <c r="E257" s="13" t="n">
        <v>0.99769</v>
      </c>
      <c r="F257" s="16" t="n">
        <f aca="false">IF(H257=1,"",D257/E257)</f>
        <v>0.675710892160892</v>
      </c>
      <c r="G257" s="17" t="n">
        <f aca="false">IF(H257=1,"",D257/E257*Notas!$B$3)</f>
        <v>64.1925347552847</v>
      </c>
      <c r="H257" s="13" t="n">
        <v>0</v>
      </c>
      <c r="I257" s="17" t="n">
        <f aca="false">IF(H257=1,D257,G257)</f>
        <v>64.1925347552847</v>
      </c>
    </row>
    <row r="258" customFormat="false" ht="15" hidden="false" customHeight="false" outlineLevel="0" collapsed="false">
      <c r="A258" s="13" t="s">
        <v>228</v>
      </c>
      <c r="B258" s="13" t="s">
        <v>114</v>
      </c>
      <c r="C258" s="13" t="s">
        <v>131</v>
      </c>
      <c r="D258" s="15" t="n">
        <v>0.50129</v>
      </c>
      <c r="E258" s="13" t="n">
        <v>0.99769</v>
      </c>
      <c r="F258" s="16" t="n">
        <f aca="false">IF(H258=1,"",D258/E258)</f>
        <v>0.502450661026972</v>
      </c>
      <c r="G258" s="17" t="n">
        <f aca="false">IF(H258=1,"",D258/E258*Notas!$B$3)</f>
        <v>47.7328127975624</v>
      </c>
      <c r="H258" s="13" t="n">
        <v>0</v>
      </c>
      <c r="I258" s="17" t="n">
        <f aca="false">IF(H258=1,D258,G258)</f>
        <v>47.7328127975624</v>
      </c>
    </row>
    <row r="259" customFormat="false" ht="15" hidden="false" customHeight="false" outlineLevel="0" collapsed="false">
      <c r="A259" s="13" t="s">
        <v>228</v>
      </c>
      <c r="B259" s="13" t="s">
        <v>114</v>
      </c>
      <c r="C259" s="13" t="s">
        <v>132</v>
      </c>
      <c r="D259" s="15" t="n">
        <v>5</v>
      </c>
      <c r="E259" s="13" t="n">
        <v>0.99769</v>
      </c>
      <c r="F259" s="16" t="str">
        <f aca="false">IF(H259=1,"",D259/E259)</f>
        <v/>
      </c>
      <c r="G259" s="17" t="str">
        <f aca="false">IF(H259=1,"",D259/E259*Notas!$B$3)</f>
        <v/>
      </c>
      <c r="H259" s="13" t="n">
        <v>1</v>
      </c>
      <c r="I259" s="17" t="n">
        <f aca="false">IF(H259=1,D259,G259)</f>
        <v>5</v>
      </c>
    </row>
    <row r="260" customFormat="false" ht="15" hidden="false" customHeight="false" outlineLevel="0" collapsed="false">
      <c r="A260" s="13" t="s">
        <v>228</v>
      </c>
      <c r="B260" s="13" t="s">
        <v>114</v>
      </c>
      <c r="C260" s="13" t="s">
        <v>133</v>
      </c>
      <c r="D260" s="15" t="n">
        <v>0.54873</v>
      </c>
      <c r="E260" s="13" t="n">
        <v>0.99769</v>
      </c>
      <c r="F260" s="16" t="n">
        <f aca="false">IF(H260=1,"",D260/E260)</f>
        <v>0.550000501157674</v>
      </c>
      <c r="G260" s="17" t="n">
        <f aca="false">IF(H260=1,"",D260/E260*Notas!$B$3)</f>
        <v>52.2500476099791</v>
      </c>
      <c r="H260" s="13" t="n">
        <v>0</v>
      </c>
      <c r="I260" s="17" t="n">
        <f aca="false">IF(H260=1,D260,G260)</f>
        <v>52.2500476099791</v>
      </c>
    </row>
    <row r="261" customFormat="false" ht="15" hidden="false" customHeight="false" outlineLevel="0" collapsed="false">
      <c r="A261" s="13" t="s">
        <v>228</v>
      </c>
      <c r="B261" s="13" t="s">
        <v>114</v>
      </c>
      <c r="C261" s="13" t="s">
        <v>134</v>
      </c>
      <c r="D261" s="15" t="n">
        <v>0.17979</v>
      </c>
      <c r="E261" s="13" t="n">
        <v>0.99769</v>
      </c>
      <c r="F261" s="16" t="n">
        <f aca="false">IF(H261=1,"",D261/E261)</f>
        <v>0.180206276498712</v>
      </c>
      <c r="G261" s="17" t="n">
        <f aca="false">IF(H261=1,"",D261/E261*Notas!$B$3)</f>
        <v>17.1195962673776</v>
      </c>
      <c r="H261" s="13" t="n">
        <v>0</v>
      </c>
      <c r="I261" s="17" t="n">
        <f aca="false">IF(H261=1,D261,G261)</f>
        <v>17.1195962673776</v>
      </c>
    </row>
    <row r="262" customFormat="false" ht="15" hidden="false" customHeight="false" outlineLevel="0" collapsed="false">
      <c r="A262" s="13" t="s">
        <v>228</v>
      </c>
      <c r="B262" s="13" t="s">
        <v>114</v>
      </c>
      <c r="C262" s="13" t="s">
        <v>135</v>
      </c>
      <c r="D262" s="15" t="n">
        <v>0.12055</v>
      </c>
      <c r="E262" s="13" t="n">
        <v>0.99769</v>
      </c>
      <c r="F262" s="16" t="n">
        <f aca="false">IF(H262=1,"",D262/E262)</f>
        <v>0.120829115256242</v>
      </c>
      <c r="G262" s="17" t="n">
        <f aca="false">IF(H262=1,"",D262/E262*Notas!$B$3)</f>
        <v>11.478765949343</v>
      </c>
      <c r="H262" s="13" t="n">
        <v>0</v>
      </c>
      <c r="I262" s="17" t="n">
        <f aca="false">IF(H262=1,D262,G262)</f>
        <v>11.478765949343</v>
      </c>
    </row>
    <row r="263" customFormat="false" ht="15" hidden="false" customHeight="false" outlineLevel="0" collapsed="false">
      <c r="A263" s="13" t="s">
        <v>228</v>
      </c>
      <c r="B263" s="13" t="s">
        <v>114</v>
      </c>
      <c r="C263" s="13" t="s">
        <v>136</v>
      </c>
      <c r="D263" s="15" t="n">
        <v>0.57242</v>
      </c>
      <c r="E263" s="13" t="n">
        <v>0.99769</v>
      </c>
      <c r="F263" s="16" t="n">
        <f aca="false">IF(H263=1,"",D263/E263)</f>
        <v>0.573745351762572</v>
      </c>
      <c r="G263" s="17" t="n">
        <f aca="false">IF(H263=1,"",D263/E263*Notas!$B$3)</f>
        <v>54.5058084174443</v>
      </c>
      <c r="H263" s="13" t="n">
        <v>0</v>
      </c>
      <c r="I263" s="17" t="n">
        <f aca="false">IF(H263=1,D263,G263)</f>
        <v>54.5058084174443</v>
      </c>
    </row>
    <row r="264" customFormat="false" ht="15" hidden="false" customHeight="false" outlineLevel="0" collapsed="false">
      <c r="A264" s="13" t="s">
        <v>228</v>
      </c>
      <c r="B264" s="13" t="s">
        <v>114</v>
      </c>
      <c r="C264" s="13" t="s">
        <v>137</v>
      </c>
      <c r="D264" s="15" t="n">
        <v>0.27202</v>
      </c>
      <c r="E264" s="13" t="n">
        <v>0.99769</v>
      </c>
      <c r="F264" s="16" t="n">
        <f aca="false">IF(H264=1,"",D264/E264)</f>
        <v>0.27264982108671</v>
      </c>
      <c r="G264" s="17" t="n">
        <f aca="false">IF(H264=1,"",D264/E264*Notas!$B$3)</f>
        <v>25.9017330032375</v>
      </c>
      <c r="H264" s="13" t="n">
        <v>0</v>
      </c>
      <c r="I264" s="17" t="n">
        <f aca="false">IF(H264=1,D264,G264)</f>
        <v>25.9017330032375</v>
      </c>
    </row>
    <row r="265" customFormat="false" ht="15" hidden="false" customHeight="false" outlineLevel="0" collapsed="false">
      <c r="A265" s="13" t="s">
        <v>228</v>
      </c>
      <c r="B265" s="13" t="s">
        <v>114</v>
      </c>
      <c r="C265" s="13" t="s">
        <v>138</v>
      </c>
      <c r="D265" s="15" t="n">
        <v>7</v>
      </c>
      <c r="E265" s="13" t="n">
        <v>0.99769</v>
      </c>
      <c r="F265" s="16" t="str">
        <f aca="false">IF(H265=1,"",D265/E265)</f>
        <v/>
      </c>
      <c r="G265" s="17" t="str">
        <f aca="false">IF(H265=1,"",D265/E265*Notas!$B$3)</f>
        <v/>
      </c>
      <c r="H265" s="13" t="n">
        <v>1</v>
      </c>
      <c r="I265" s="17" t="n">
        <f aca="false">IF(H265=1,D265,G265)</f>
        <v>7</v>
      </c>
    </row>
    <row r="266" customFormat="false" ht="15" hidden="false" customHeight="false" outlineLevel="0" collapsed="false">
      <c r="A266" s="13" t="s">
        <v>228</v>
      </c>
      <c r="B266" s="13" t="s">
        <v>139</v>
      </c>
      <c r="C266" s="13" t="s">
        <v>182</v>
      </c>
      <c r="D266" s="15" t="n">
        <v>0.19408</v>
      </c>
      <c r="E266" s="13" t="n">
        <v>0.99769</v>
      </c>
      <c r="F266" s="16" t="n">
        <f aca="false">IF(H266=1,"",D266/E266)</f>
        <v>0.194529362828133</v>
      </c>
      <c r="G266" s="17" t="n">
        <f aca="false">IF(H266=1,"",D266/E266*Notas!$B$3)</f>
        <v>18.4802894686726</v>
      </c>
      <c r="H266" s="13" t="n">
        <v>0</v>
      </c>
      <c r="I266" s="17" t="n">
        <f aca="false">IF(H266=1,D266,G266)</f>
        <v>18.4802894686726</v>
      </c>
    </row>
    <row r="267" customFormat="false" ht="15" hidden="false" customHeight="false" outlineLevel="0" collapsed="false">
      <c r="A267" s="13" t="s">
        <v>228</v>
      </c>
      <c r="B267" s="13" t="s">
        <v>139</v>
      </c>
      <c r="C267" s="13" t="s">
        <v>183</v>
      </c>
      <c r="D267" s="15" t="n">
        <v>0.4505</v>
      </c>
      <c r="E267" s="13" t="n">
        <v>0.99769</v>
      </c>
      <c r="F267" s="16" t="n">
        <f aca="false">IF(H267=1,"",D267/E267)</f>
        <v>0.451543064478946</v>
      </c>
      <c r="G267" s="17" t="n">
        <f aca="false">IF(H267=1,"",D267/E267*Notas!$B$3)</f>
        <v>42.8965911254999</v>
      </c>
      <c r="H267" s="13" t="n">
        <v>0</v>
      </c>
      <c r="I267" s="17" t="n">
        <f aca="false">IF(H267=1,D267,G267)</f>
        <v>42.8965911254999</v>
      </c>
    </row>
    <row r="268" customFormat="false" ht="15" hidden="false" customHeight="false" outlineLevel="0" collapsed="false">
      <c r="A268" s="13" t="s">
        <v>228</v>
      </c>
      <c r="B268" s="13" t="s">
        <v>139</v>
      </c>
      <c r="C268" s="13" t="s">
        <v>184</v>
      </c>
      <c r="D268" s="15" t="n">
        <v>0.25642</v>
      </c>
      <c r="E268" s="13" t="n">
        <v>0.99769</v>
      </c>
      <c r="F268" s="16" t="n">
        <f aca="false">IF(H268=1,"",D268/E268)</f>
        <v>0.257013701650813</v>
      </c>
      <c r="G268" s="17" t="n">
        <f aca="false">IF(H268=1,"",D268/E268*Notas!$B$3)</f>
        <v>24.4163016568273</v>
      </c>
      <c r="H268" s="13" t="n">
        <v>0</v>
      </c>
      <c r="I268" s="17" t="n">
        <f aca="false">IF(H268=1,D268,G268)</f>
        <v>24.4163016568273</v>
      </c>
    </row>
    <row r="269" customFormat="false" ht="15" hidden="false" customHeight="false" outlineLevel="0" collapsed="false">
      <c r="A269" s="13" t="s">
        <v>228</v>
      </c>
      <c r="B269" s="13" t="s">
        <v>139</v>
      </c>
      <c r="C269" s="13" t="s">
        <v>185</v>
      </c>
      <c r="D269" s="15" t="n">
        <v>0.15131</v>
      </c>
      <c r="E269" s="13" t="n">
        <v>0.99769</v>
      </c>
      <c r="F269" s="16" t="n">
        <f aca="false">IF(H269=1,"",D269/E269)</f>
        <v>0.151660335374716</v>
      </c>
      <c r="G269" s="17" t="n">
        <f aca="false">IF(H269=1,"",D269/E269*Notas!$B$3)</f>
        <v>14.407731860598</v>
      </c>
      <c r="H269" s="13" t="n">
        <v>0</v>
      </c>
      <c r="I269" s="17" t="n">
        <f aca="false">IF(H269=1,D269,G269)</f>
        <v>14.407731860598</v>
      </c>
    </row>
    <row r="270" customFormat="false" ht="15" hidden="false" customHeight="false" outlineLevel="0" collapsed="false">
      <c r="A270" s="13" t="s">
        <v>228</v>
      </c>
      <c r="B270" s="13" t="s">
        <v>139</v>
      </c>
      <c r="C270" s="13" t="s">
        <v>186</v>
      </c>
      <c r="D270" s="15" t="n">
        <v>0.11784</v>
      </c>
      <c r="E270" s="13" t="n">
        <v>0.99769</v>
      </c>
      <c r="F270" s="16" t="n">
        <f aca="false">IF(H270=1,"",D270/E270)</f>
        <v>0.118112840661929</v>
      </c>
      <c r="G270" s="17" t="n">
        <f aca="false">IF(H270=1,"",D270/E270*Notas!$B$3)</f>
        <v>11.2207198628833</v>
      </c>
      <c r="H270" s="13" t="n">
        <v>0</v>
      </c>
      <c r="I270" s="17" t="n">
        <f aca="false">IF(H270=1,D270,G270)</f>
        <v>11.2207198628833</v>
      </c>
    </row>
    <row r="271" customFormat="false" ht="15" hidden="false" customHeight="false" outlineLevel="0" collapsed="false">
      <c r="A271" s="13" t="s">
        <v>228</v>
      </c>
      <c r="B271" s="13" t="s">
        <v>139</v>
      </c>
      <c r="C271" s="13" t="s">
        <v>187</v>
      </c>
      <c r="D271" s="15" t="n">
        <v>0.25612</v>
      </c>
      <c r="E271" s="13" t="n">
        <v>0.99769</v>
      </c>
      <c r="F271" s="16" t="n">
        <f aca="false">IF(H271=1,"",D271/E271)</f>
        <v>0.256713007046277</v>
      </c>
      <c r="G271" s="17" t="n">
        <f aca="false">IF(H271=1,"",D271/E271*Notas!$B$3)</f>
        <v>24.3877356693963</v>
      </c>
      <c r="H271" s="13" t="n">
        <v>0</v>
      </c>
      <c r="I271" s="17" t="n">
        <f aca="false">IF(H271=1,D271,G271)</f>
        <v>24.3877356693963</v>
      </c>
    </row>
    <row r="272" customFormat="false" ht="15" hidden="false" customHeight="false" outlineLevel="0" collapsed="false">
      <c r="A272" s="13" t="s">
        <v>228</v>
      </c>
      <c r="B272" s="13" t="s">
        <v>143</v>
      </c>
      <c r="C272" s="13" t="s">
        <v>188</v>
      </c>
      <c r="D272" s="15" t="n">
        <v>0.53819</v>
      </c>
      <c r="E272" s="13" t="n">
        <v>0.99769</v>
      </c>
      <c r="F272" s="16" t="n">
        <f aca="false">IF(H272=1,"",D272/E272)</f>
        <v>0.539436097384959</v>
      </c>
      <c r="G272" s="17" t="n">
        <f aca="false">IF(H272=1,"",D272/E272*Notas!$B$3)</f>
        <v>51.2464292515711</v>
      </c>
      <c r="H272" s="13" t="n">
        <v>0</v>
      </c>
      <c r="I272" s="17" t="n">
        <f aca="false">IF(H272=1,D272,G272)</f>
        <v>51.2464292515711</v>
      </c>
    </row>
    <row r="273" customFormat="false" ht="15" hidden="false" customHeight="false" outlineLevel="0" collapsed="false">
      <c r="A273" s="13" t="s">
        <v>228</v>
      </c>
      <c r="B273" s="13" t="s">
        <v>143</v>
      </c>
      <c r="C273" s="13" t="s">
        <v>189</v>
      </c>
      <c r="D273" s="15" t="n">
        <v>0.33579</v>
      </c>
      <c r="E273" s="13" t="n">
        <v>0.99769</v>
      </c>
      <c r="F273" s="16" t="n">
        <f aca="false">IF(H273=1,"",D273/E273)</f>
        <v>0.336567470857681</v>
      </c>
      <c r="G273" s="17" t="n">
        <f aca="false">IF(H273=1,"",D273/E273*Notas!$B$3)</f>
        <v>31.9739097314797</v>
      </c>
      <c r="H273" s="13" t="n">
        <v>0</v>
      </c>
      <c r="I273" s="17" t="n">
        <f aca="false">IF(H273=1,D273,G273)</f>
        <v>31.9739097314797</v>
      </c>
    </row>
    <row r="274" customFormat="false" ht="15" hidden="false" customHeight="false" outlineLevel="0" collapsed="false">
      <c r="A274" s="13" t="s">
        <v>228</v>
      </c>
      <c r="B274" s="13" t="s">
        <v>143</v>
      </c>
      <c r="C274" s="13" t="s">
        <v>190</v>
      </c>
      <c r="D274" s="15" t="n">
        <v>0.2024</v>
      </c>
      <c r="E274" s="13" t="n">
        <v>0.99769</v>
      </c>
      <c r="F274" s="16" t="n">
        <f aca="false">IF(H274=1,"",D274/E274)</f>
        <v>0.202868626527278</v>
      </c>
      <c r="G274" s="17" t="n">
        <f aca="false">IF(H274=1,"",D274/E274*Notas!$B$3)</f>
        <v>19.2725195200914</v>
      </c>
      <c r="H274" s="13" t="n">
        <v>0</v>
      </c>
      <c r="I274" s="17" t="n">
        <f aca="false">IF(H274=1,D274,G274)</f>
        <v>19.2725195200914</v>
      </c>
    </row>
    <row r="275" customFormat="false" ht="15" hidden="false" customHeight="false" outlineLevel="0" collapsed="false">
      <c r="A275" s="13" t="s">
        <v>228</v>
      </c>
      <c r="B275" s="13" t="s">
        <v>143</v>
      </c>
      <c r="C275" s="13" t="s">
        <v>191</v>
      </c>
      <c r="D275" s="15" t="n">
        <v>0.1447</v>
      </c>
      <c r="E275" s="13" t="n">
        <v>0.99769</v>
      </c>
      <c r="F275" s="16" t="n">
        <f aca="false">IF(H275=1,"",D275/E275)</f>
        <v>0.145035030921429</v>
      </c>
      <c r="G275" s="17" t="n">
        <f aca="false">IF(H275=1,"",D275/E275*Notas!$B$3)</f>
        <v>13.7783279375357</v>
      </c>
      <c r="H275" s="13" t="n">
        <v>0</v>
      </c>
      <c r="I275" s="17" t="n">
        <f aca="false">IF(H275=1,D275,G275)</f>
        <v>13.7783279375357</v>
      </c>
    </row>
    <row r="276" customFormat="false" ht="15" hidden="false" customHeight="false" outlineLevel="0" collapsed="false">
      <c r="A276" s="13" t="s">
        <v>228</v>
      </c>
      <c r="B276" s="13" t="s">
        <v>143</v>
      </c>
      <c r="C276" s="13" t="s">
        <v>192</v>
      </c>
      <c r="D276" s="15" t="n">
        <v>0.11689</v>
      </c>
      <c r="E276" s="13" t="n">
        <v>0.99769</v>
      </c>
      <c r="F276" s="16" t="n">
        <f aca="false">IF(H276=1,"",D276/E276)</f>
        <v>0.117160641080897</v>
      </c>
      <c r="G276" s="17" t="n">
        <f aca="false">IF(H276=1,"",D276/E276*Notas!$B$3)</f>
        <v>11.1302609026852</v>
      </c>
      <c r="H276" s="13" t="n">
        <v>0</v>
      </c>
      <c r="I276" s="17" t="n">
        <f aca="false">IF(H276=1,D276,G276)</f>
        <v>11.1302609026852</v>
      </c>
    </row>
    <row r="277" customFormat="false" ht="15" hidden="false" customHeight="false" outlineLevel="0" collapsed="false">
      <c r="A277" s="13" t="s">
        <v>228</v>
      </c>
      <c r="B277" s="13" t="s">
        <v>143</v>
      </c>
      <c r="C277" s="13" t="s">
        <v>193</v>
      </c>
      <c r="D277" s="15" t="n">
        <v>0.3441</v>
      </c>
      <c r="E277" s="13" t="n">
        <v>0.99769</v>
      </c>
      <c r="F277" s="16" t="n">
        <f aca="false">IF(H277=1,"",D277/E277)</f>
        <v>0.344896711403342</v>
      </c>
      <c r="G277" s="17" t="n">
        <f aca="false">IF(H277=1,"",D277/E277*Notas!$B$3)</f>
        <v>32.7651875833175</v>
      </c>
      <c r="H277" s="13" t="n">
        <v>0</v>
      </c>
      <c r="I277" s="17" t="n">
        <f aca="false">IF(H277=1,D277,G277)</f>
        <v>32.7651875833175</v>
      </c>
    </row>
    <row r="278" customFormat="false" ht="15" hidden="false" customHeight="false" outlineLevel="0" collapsed="false">
      <c r="A278" s="13" t="s">
        <v>228</v>
      </c>
      <c r="B278" s="13" t="s">
        <v>139</v>
      </c>
      <c r="C278" s="13" t="s">
        <v>194</v>
      </c>
      <c r="D278" s="15" t="n">
        <v>0.18941</v>
      </c>
      <c r="E278" s="13" t="n">
        <v>0.99769</v>
      </c>
      <c r="F278" s="16" t="n">
        <f aca="false">IF(H278=1,"",D278/E278)</f>
        <v>0.189848550150848</v>
      </c>
      <c r="G278" s="17" t="n">
        <f aca="false">IF(H278=1,"",D278/E278*Notas!$B$3)</f>
        <v>18.0356122643306</v>
      </c>
      <c r="H278" s="13" t="n">
        <v>0</v>
      </c>
      <c r="I278" s="17" t="n">
        <f aca="false">IF(H278=1,D278,G278)</f>
        <v>18.0356122643306</v>
      </c>
    </row>
    <row r="279" customFormat="false" ht="15" hidden="false" customHeight="false" outlineLevel="0" collapsed="false">
      <c r="A279" s="13" t="s">
        <v>228</v>
      </c>
      <c r="B279" s="13" t="s">
        <v>139</v>
      </c>
      <c r="C279" s="13" t="s">
        <v>195</v>
      </c>
      <c r="D279" s="15" t="n">
        <v>0.45992</v>
      </c>
      <c r="E279" s="13" t="n">
        <v>0.99769</v>
      </c>
      <c r="F279" s="16" t="n">
        <f aca="false">IF(H279=1,"",D279/E279)</f>
        <v>0.460984875061392</v>
      </c>
      <c r="G279" s="17" t="n">
        <f aca="false">IF(H279=1,"",D279/E279*Notas!$B$3)</f>
        <v>43.7935631308322</v>
      </c>
      <c r="H279" s="13" t="n">
        <v>0</v>
      </c>
      <c r="I279" s="17" t="n">
        <f aca="false">IF(H279=1,D279,G279)</f>
        <v>43.7935631308322</v>
      </c>
    </row>
    <row r="280" customFormat="false" ht="15" hidden="false" customHeight="false" outlineLevel="0" collapsed="false">
      <c r="A280" s="13" t="s">
        <v>228</v>
      </c>
      <c r="B280" s="13" t="s">
        <v>139</v>
      </c>
      <c r="C280" s="13" t="s">
        <v>196</v>
      </c>
      <c r="D280" s="15" t="n">
        <v>0.27051</v>
      </c>
      <c r="E280" s="13" t="n">
        <v>0.99769</v>
      </c>
      <c r="F280" s="16" t="n">
        <f aca="false">IF(H280=1,"",D280/E280)</f>
        <v>0.271136324910543</v>
      </c>
      <c r="G280" s="17" t="n">
        <f aca="false">IF(H280=1,"",D280/E280*Notas!$B$3)</f>
        <v>25.7579508665016</v>
      </c>
      <c r="H280" s="13" t="n">
        <v>0</v>
      </c>
      <c r="I280" s="17" t="n">
        <f aca="false">IF(H280=1,D280,G280)</f>
        <v>25.7579508665016</v>
      </c>
    </row>
    <row r="281" customFormat="false" ht="15" hidden="false" customHeight="false" outlineLevel="0" collapsed="false">
      <c r="A281" s="13" t="s">
        <v>228</v>
      </c>
      <c r="B281" s="13" t="s">
        <v>139</v>
      </c>
      <c r="C281" s="13" t="s">
        <v>197</v>
      </c>
      <c r="D281" s="15" t="n">
        <v>0.15598</v>
      </c>
      <c r="E281" s="13" t="n">
        <v>0.99769</v>
      </c>
      <c r="F281" s="16" t="n">
        <f aca="false">IF(H281=1,"",D281/E281)</f>
        <v>0.156341148052</v>
      </c>
      <c r="G281" s="17" t="n">
        <f aca="false">IF(H281=1,"",D281/E281*Notas!$B$3)</f>
        <v>14.85240906494</v>
      </c>
      <c r="H281" s="13" t="n">
        <v>0</v>
      </c>
      <c r="I281" s="17" t="n">
        <f aca="false">IF(H281=1,D281,G281)</f>
        <v>14.85240906494</v>
      </c>
    </row>
    <row r="282" customFormat="false" ht="15" hidden="false" customHeight="false" outlineLevel="0" collapsed="false">
      <c r="A282" s="13" t="s">
        <v>228</v>
      </c>
      <c r="B282" s="13" t="s">
        <v>139</v>
      </c>
      <c r="C282" s="13" t="s">
        <v>198</v>
      </c>
      <c r="D282" s="15" t="n">
        <v>0.13122</v>
      </c>
      <c r="E282" s="13" t="n">
        <v>0.99769</v>
      </c>
      <c r="F282" s="16" t="n">
        <f aca="false">IF(H282=1,"",D282/E282)</f>
        <v>0.131523820024256</v>
      </c>
      <c r="G282" s="17" t="n">
        <f aca="false">IF(H282=1,"",D282/E282*Notas!$B$3)</f>
        <v>12.4947629023043</v>
      </c>
      <c r="H282" s="13" t="n">
        <v>0</v>
      </c>
      <c r="I282" s="17" t="n">
        <f aca="false">IF(H282=1,D282,G282)</f>
        <v>12.4947629023043</v>
      </c>
    </row>
    <row r="283" customFormat="false" ht="15" hidden="false" customHeight="false" outlineLevel="0" collapsed="false">
      <c r="A283" s="13" t="s">
        <v>228</v>
      </c>
      <c r="B283" s="13" t="s">
        <v>139</v>
      </c>
      <c r="C283" s="13" t="s">
        <v>199</v>
      </c>
      <c r="D283" s="15" t="n">
        <v>0.25559</v>
      </c>
      <c r="E283" s="13" t="n">
        <v>0.99769</v>
      </c>
      <c r="F283" s="16" t="n">
        <f aca="false">IF(H283=1,"",D283/E283)</f>
        <v>0.256181779911596</v>
      </c>
      <c r="G283" s="17" t="n">
        <f aca="false">IF(H283=1,"",D283/E283*Notas!$B$3)</f>
        <v>24.3372690916016</v>
      </c>
      <c r="H283" s="13" t="n">
        <v>0</v>
      </c>
      <c r="I283" s="17" t="n">
        <f aca="false">IF(H283=1,D283,G283)</f>
        <v>24.3372690916016</v>
      </c>
    </row>
    <row r="284" customFormat="false" ht="15" hidden="false" customHeight="false" outlineLevel="0" collapsed="false">
      <c r="A284" s="13" t="s">
        <v>228</v>
      </c>
      <c r="B284" s="13" t="s">
        <v>143</v>
      </c>
      <c r="C284" s="13" t="s">
        <v>200</v>
      </c>
      <c r="D284" s="15" t="n">
        <v>0.53545</v>
      </c>
      <c r="E284" s="13" t="n">
        <v>0.99769</v>
      </c>
      <c r="F284" s="16" t="n">
        <f aca="false">IF(H284=1,"",D284/E284)</f>
        <v>0.536689753330193</v>
      </c>
      <c r="G284" s="17" t="n">
        <f aca="false">IF(H284=1,"",D284/E284*Notas!$B$3)</f>
        <v>50.9855265663683</v>
      </c>
      <c r="H284" s="13" t="n">
        <v>0</v>
      </c>
      <c r="I284" s="17" t="n">
        <f aca="false">IF(H284=1,D284,G284)</f>
        <v>50.9855265663683</v>
      </c>
    </row>
    <row r="285" customFormat="false" ht="15" hidden="false" customHeight="false" outlineLevel="0" collapsed="false">
      <c r="A285" s="13" t="s">
        <v>228</v>
      </c>
      <c r="B285" s="13" t="s">
        <v>143</v>
      </c>
      <c r="C285" s="13" t="s">
        <v>201</v>
      </c>
      <c r="D285" s="15" t="n">
        <v>0.33543</v>
      </c>
      <c r="E285" s="13" t="n">
        <v>0.99769</v>
      </c>
      <c r="F285" s="16" t="n">
        <f aca="false">IF(H285=1,"",D285/E285)</f>
        <v>0.336206637332238</v>
      </c>
      <c r="G285" s="17" t="n">
        <f aca="false">IF(H285=1,"",D285/E285*Notas!$B$3)</f>
        <v>31.9396305465626</v>
      </c>
      <c r="H285" s="13" t="n">
        <v>0</v>
      </c>
      <c r="I285" s="17" t="n">
        <f aca="false">IF(H285=1,D285,G285)</f>
        <v>31.9396305465626</v>
      </c>
    </row>
    <row r="286" customFormat="false" ht="15" hidden="false" customHeight="false" outlineLevel="0" collapsed="false">
      <c r="A286" s="13" t="s">
        <v>228</v>
      </c>
      <c r="B286" s="13" t="s">
        <v>143</v>
      </c>
      <c r="C286" s="13" t="s">
        <v>202</v>
      </c>
      <c r="D286" s="15" t="n">
        <v>0.20002</v>
      </c>
      <c r="E286" s="13" t="n">
        <v>0.99769</v>
      </c>
      <c r="F286" s="16" t="n">
        <f aca="false">IF(H286=1,"",D286/E286)</f>
        <v>0.200483115997955</v>
      </c>
      <c r="G286" s="17" t="n">
        <f aca="false">IF(H286=1,"",D286/E286*Notas!$B$3)</f>
        <v>19.0458960198058</v>
      </c>
      <c r="H286" s="13" t="n">
        <v>0</v>
      </c>
      <c r="I286" s="17" t="n">
        <f aca="false">IF(H286=1,D286,G286)</f>
        <v>19.0458960198058</v>
      </c>
    </row>
    <row r="287" customFormat="false" ht="15" hidden="false" customHeight="false" outlineLevel="0" collapsed="false">
      <c r="A287" s="13" t="s">
        <v>228</v>
      </c>
      <c r="B287" s="13" t="s">
        <v>143</v>
      </c>
      <c r="C287" s="13" t="s">
        <v>203</v>
      </c>
      <c r="D287" s="15" t="n">
        <v>0.13596</v>
      </c>
      <c r="E287" s="13" t="n">
        <v>0.99769</v>
      </c>
      <c r="F287" s="16" t="n">
        <f aca="false">IF(H287=1,"",D287/E287)</f>
        <v>0.136274794775932</v>
      </c>
      <c r="G287" s="17" t="n">
        <f aca="false">IF(H287=1,"",D287/E287*Notas!$B$3)</f>
        <v>12.9461055037136</v>
      </c>
      <c r="H287" s="13" t="n">
        <v>0</v>
      </c>
      <c r="I287" s="17" t="n">
        <f aca="false">IF(H287=1,D287,G287)</f>
        <v>12.9461055037136</v>
      </c>
    </row>
    <row r="288" customFormat="false" ht="15" hidden="false" customHeight="false" outlineLevel="0" collapsed="false">
      <c r="A288" s="13" t="s">
        <v>228</v>
      </c>
      <c r="B288" s="13" t="s">
        <v>143</v>
      </c>
      <c r="C288" s="13" t="s">
        <v>204</v>
      </c>
      <c r="D288" s="15" t="n">
        <v>0.12413</v>
      </c>
      <c r="E288" s="13" t="n">
        <v>0.99769</v>
      </c>
      <c r="F288" s="16" t="n">
        <f aca="false">IF(H288=1,"",D288/E288)</f>
        <v>0.124417404203711</v>
      </c>
      <c r="G288" s="17" t="n">
        <f aca="false">IF(H288=1,"",D288/E288*Notas!$B$3)</f>
        <v>11.8196533993525</v>
      </c>
      <c r="H288" s="13" t="n">
        <v>0</v>
      </c>
      <c r="I288" s="17" t="n">
        <f aca="false">IF(H288=1,D288,G288)</f>
        <v>11.8196533993525</v>
      </c>
    </row>
    <row r="289" customFormat="false" ht="15" hidden="false" customHeight="false" outlineLevel="0" collapsed="false">
      <c r="A289" s="13" t="s">
        <v>228</v>
      </c>
      <c r="B289" s="13" t="s">
        <v>143</v>
      </c>
      <c r="C289" s="13" t="s">
        <v>205</v>
      </c>
      <c r="D289" s="15" t="n">
        <v>0.34604</v>
      </c>
      <c r="E289" s="13" t="n">
        <v>0.99769</v>
      </c>
      <c r="F289" s="16" t="n">
        <f aca="false">IF(H289=1,"",D289/E289)</f>
        <v>0.346841203179344</v>
      </c>
      <c r="G289" s="17" t="n">
        <f aca="false">IF(H289=1,"",D289/E289*Notas!$B$3)</f>
        <v>32.9499143020377</v>
      </c>
      <c r="H289" s="13" t="n">
        <v>0</v>
      </c>
      <c r="I289" s="17" t="n">
        <f aca="false">IF(H289=1,D289,G289)</f>
        <v>32.9499143020377</v>
      </c>
    </row>
    <row r="290" customFormat="false" ht="15" hidden="false" customHeight="false" outlineLevel="0" collapsed="false">
      <c r="A290" s="13" t="s">
        <v>228</v>
      </c>
      <c r="B290" s="13" t="s">
        <v>114</v>
      </c>
      <c r="C290" s="13" t="s">
        <v>206</v>
      </c>
      <c r="D290" s="15" t="n">
        <v>0.31876</v>
      </c>
      <c r="E290" s="13" t="n">
        <v>0.99769</v>
      </c>
      <c r="F290" s="16" t="n">
        <f aca="false">IF(H290=1,"",D290/E290)</f>
        <v>0.319498040473494</v>
      </c>
      <c r="G290" s="17" t="n">
        <f aca="false">IF(H290=1,"",D290/E290*Notas!$B$3)</f>
        <v>30.3523138449819</v>
      </c>
      <c r="H290" s="13" t="n">
        <v>0</v>
      </c>
      <c r="I290" s="17" t="n">
        <f aca="false">IF(H290=1,D290,G290)</f>
        <v>30.3523138449819</v>
      </c>
    </row>
    <row r="291" customFormat="false" ht="15" hidden="false" customHeight="false" outlineLevel="0" collapsed="false">
      <c r="A291" s="13" t="s">
        <v>231</v>
      </c>
      <c r="B291" s="13" t="s">
        <v>17</v>
      </c>
      <c r="C291" s="13" t="s">
        <v>18</v>
      </c>
      <c r="D291" s="15" t="n">
        <v>0.99771</v>
      </c>
      <c r="E291" s="13" t="n">
        <v>0.99771</v>
      </c>
      <c r="F291" s="16" t="n">
        <f aca="false">IF(H291=1,"",D291/E291)</f>
        <v>1</v>
      </c>
      <c r="G291" s="17" t="n">
        <f aca="false">IF(H291=1,"",D291/E291*Notas!$B$3)</f>
        <v>95</v>
      </c>
      <c r="H291" s="13" t="n">
        <v>0</v>
      </c>
      <c r="I291" s="17" t="n">
        <f aca="false">IF(H291=1,D291,G291)</f>
        <v>95</v>
      </c>
    </row>
    <row r="292" customFormat="false" ht="15" hidden="false" customHeight="false" outlineLevel="0" collapsed="false">
      <c r="A292" s="13" t="s">
        <v>231</v>
      </c>
      <c r="B292" s="13" t="s">
        <v>17</v>
      </c>
      <c r="C292" s="13" t="s">
        <v>19</v>
      </c>
      <c r="D292" s="15" t="n">
        <v>0.83019</v>
      </c>
      <c r="E292" s="13" t="n">
        <v>0.99771</v>
      </c>
      <c r="F292" s="16" t="n">
        <f aca="false">IF(H292=1,"",D292/E292)</f>
        <v>0.832095498692005</v>
      </c>
      <c r="G292" s="17" t="n">
        <f aca="false">IF(H292=1,"",D292/E292*Notas!$B$3)</f>
        <v>79.0490723757405</v>
      </c>
      <c r="H292" s="13" t="n">
        <v>0</v>
      </c>
      <c r="I292" s="17" t="n">
        <f aca="false">IF(H292=1,D292,G292)</f>
        <v>79.0490723757405</v>
      </c>
    </row>
    <row r="293" customFormat="false" ht="15" hidden="false" customHeight="false" outlineLevel="0" collapsed="false">
      <c r="A293" s="13" t="s">
        <v>231</v>
      </c>
      <c r="B293" s="13" t="s">
        <v>17</v>
      </c>
      <c r="C293" s="13" t="s">
        <v>20</v>
      </c>
      <c r="D293" s="15" t="n">
        <v>0.4406</v>
      </c>
      <c r="E293" s="13" t="n">
        <v>0.99771</v>
      </c>
      <c r="F293" s="16" t="n">
        <f aca="false">IF(H293=1,"",D293/E293)</f>
        <v>0.441611289853765</v>
      </c>
      <c r="G293" s="17" t="n">
        <f aca="false">IF(H293=1,"",D293/E293*Notas!$B$3)</f>
        <v>41.9530725361077</v>
      </c>
      <c r="H293" s="13" t="n">
        <v>0</v>
      </c>
      <c r="I293" s="17" t="n">
        <f aca="false">IF(H293=1,D293,G293)</f>
        <v>41.9530725361077</v>
      </c>
    </row>
    <row r="294" customFormat="false" ht="15" hidden="false" customHeight="false" outlineLevel="0" collapsed="false">
      <c r="A294" s="13" t="s">
        <v>231</v>
      </c>
      <c r="B294" s="13" t="s">
        <v>17</v>
      </c>
      <c r="C294" s="13" t="s">
        <v>21</v>
      </c>
      <c r="D294" s="15" t="n">
        <v>8656</v>
      </c>
      <c r="E294" s="13" t="n">
        <v>0.99771</v>
      </c>
      <c r="F294" s="16" t="str">
        <f aca="false">IF(H294=1,"",D294/E294)</f>
        <v/>
      </c>
      <c r="G294" s="17" t="str">
        <f aca="false">IF(H294=1,"",D294/E294*Notas!$B$3)</f>
        <v/>
      </c>
      <c r="H294" s="13" t="n">
        <v>1</v>
      </c>
      <c r="I294" s="17" t="n">
        <f aca="false">IF(H294=1,D294,G294)</f>
        <v>8656</v>
      </c>
    </row>
    <row r="295" customFormat="false" ht="15" hidden="false" customHeight="false" outlineLevel="0" collapsed="false">
      <c r="A295" s="13" t="s">
        <v>231</v>
      </c>
      <c r="B295" s="13" t="s">
        <v>17</v>
      </c>
      <c r="C295" s="13" t="s">
        <v>22</v>
      </c>
      <c r="D295" s="15" t="n">
        <v>4328</v>
      </c>
      <c r="E295" s="13" t="n">
        <v>0.99771</v>
      </c>
      <c r="F295" s="16" t="str">
        <f aca="false">IF(H295=1,"",D295/E295)</f>
        <v/>
      </c>
      <c r="G295" s="17" t="str">
        <f aca="false">IF(H295=1,"",D295/E295*Notas!$B$3)</f>
        <v/>
      </c>
      <c r="H295" s="13" t="n">
        <v>1</v>
      </c>
      <c r="I295" s="17" t="n">
        <f aca="false">IF(H295=1,D295,G295)</f>
        <v>4328</v>
      </c>
    </row>
    <row r="296" customFormat="false" ht="15" hidden="false" customHeight="false" outlineLevel="0" collapsed="false">
      <c r="A296" s="13" t="s">
        <v>231</v>
      </c>
      <c r="B296" s="13" t="s">
        <v>17</v>
      </c>
      <c r="C296" s="13" t="s">
        <v>23</v>
      </c>
      <c r="D296" s="15" t="n">
        <v>1.60298</v>
      </c>
      <c r="E296" s="13" t="n">
        <v>0.99771</v>
      </c>
      <c r="F296" s="16" t="str">
        <f aca="false">IF(H296=1,"",D296/E296)</f>
        <v/>
      </c>
      <c r="G296" s="17" t="str">
        <f aca="false">IF(H296=1,"",D296/E296*Notas!$B$3)</f>
        <v/>
      </c>
      <c r="H296" s="13" t="n">
        <v>1</v>
      </c>
      <c r="I296" s="17" t="n">
        <f aca="false">IF(H296=1,D296,G296)</f>
        <v>1.60298</v>
      </c>
    </row>
    <row r="297" customFormat="false" ht="15" hidden="false" customHeight="false" outlineLevel="0" collapsed="false">
      <c r="A297" s="13" t="s">
        <v>231</v>
      </c>
      <c r="B297" s="13" t="s">
        <v>17</v>
      </c>
      <c r="C297" s="13" t="s">
        <v>24</v>
      </c>
      <c r="D297" s="15" t="n">
        <v>0.06099</v>
      </c>
      <c r="E297" s="13" t="n">
        <v>0.99771</v>
      </c>
      <c r="F297" s="16" t="str">
        <f aca="false">IF(H297=1,"",D297/E297)</f>
        <v/>
      </c>
      <c r="G297" s="17" t="str">
        <f aca="false">IF(H297=1,"",D297/E297*Notas!$B$3)</f>
        <v/>
      </c>
      <c r="H297" s="13" t="n">
        <v>1</v>
      </c>
      <c r="I297" s="17" t="n">
        <f aca="false">IF(H297=1,D297,G297)</f>
        <v>0.06099</v>
      </c>
    </row>
    <row r="298" customFormat="false" ht="15" hidden="false" customHeight="false" outlineLevel="0" collapsed="false">
      <c r="A298" s="13" t="s">
        <v>231</v>
      </c>
      <c r="B298" s="13" t="s">
        <v>25</v>
      </c>
      <c r="C298" s="13" t="s">
        <v>26</v>
      </c>
      <c r="D298" s="15" t="n">
        <v>57.74323</v>
      </c>
      <c r="E298" s="13" t="n">
        <v>0.99771</v>
      </c>
      <c r="F298" s="16" t="str">
        <f aca="false">IF(H298=1,"",D298/E298)</f>
        <v/>
      </c>
      <c r="G298" s="17" t="str">
        <f aca="false">IF(H298=1,"",D298/E298*Notas!$B$3)</f>
        <v/>
      </c>
      <c r="H298" s="13" t="n">
        <v>1</v>
      </c>
      <c r="I298" s="17" t="n">
        <f aca="false">IF(H298=1,D298,G298)</f>
        <v>57.74323</v>
      </c>
    </row>
    <row r="299" customFormat="false" ht="15" hidden="false" customHeight="false" outlineLevel="0" collapsed="false">
      <c r="A299" s="13" t="s">
        <v>231</v>
      </c>
      <c r="B299" s="13" t="s">
        <v>25</v>
      </c>
      <c r="C299" s="13" t="s">
        <v>27</v>
      </c>
      <c r="D299" s="15" t="n">
        <v>10.26021</v>
      </c>
      <c r="E299" s="13" t="n">
        <v>0.99771</v>
      </c>
      <c r="F299" s="16" t="str">
        <f aca="false">IF(H299=1,"",D299/E299)</f>
        <v/>
      </c>
      <c r="G299" s="17" t="str">
        <f aca="false">IF(H299=1,"",D299/E299*Notas!$B$3)</f>
        <v/>
      </c>
      <c r="H299" s="13" t="n">
        <v>1</v>
      </c>
      <c r="I299" s="17" t="n">
        <f aca="false">IF(H299=1,D299,G299)</f>
        <v>10.26021</v>
      </c>
    </row>
    <row r="300" customFormat="false" ht="15" hidden="false" customHeight="false" outlineLevel="0" collapsed="false">
      <c r="A300" s="13" t="s">
        <v>231</v>
      </c>
      <c r="B300" s="13" t="s">
        <v>25</v>
      </c>
      <c r="C300" s="13" t="s">
        <v>28</v>
      </c>
      <c r="D300" s="15" t="n">
        <v>25.94493</v>
      </c>
      <c r="E300" s="13" t="n">
        <v>0.99771</v>
      </c>
      <c r="F300" s="16" t="str">
        <f aca="false">IF(H300=1,"",D300/E300)</f>
        <v/>
      </c>
      <c r="G300" s="17" t="str">
        <f aca="false">IF(H300=1,"",D300/E300*Notas!$B$3)</f>
        <v/>
      </c>
      <c r="H300" s="13" t="n">
        <v>1</v>
      </c>
      <c r="I300" s="17" t="n">
        <f aca="false">IF(H300=1,D300,G300)</f>
        <v>25.94493</v>
      </c>
    </row>
    <row r="301" customFormat="false" ht="15" hidden="false" customHeight="false" outlineLevel="0" collapsed="false">
      <c r="A301" s="13" t="s">
        <v>231</v>
      </c>
      <c r="B301" s="13" t="s">
        <v>25</v>
      </c>
      <c r="C301" s="13" t="s">
        <v>29</v>
      </c>
      <c r="D301" s="15" t="n">
        <v>6.05163</v>
      </c>
      <c r="E301" s="13" t="n">
        <v>0.99771</v>
      </c>
      <c r="F301" s="16" t="str">
        <f aca="false">IF(H301=1,"",D301/E301)</f>
        <v/>
      </c>
      <c r="G301" s="17" t="str">
        <f aca="false">IF(H301=1,"",D301/E301*Notas!$B$3)</f>
        <v/>
      </c>
      <c r="H301" s="13" t="n">
        <v>1</v>
      </c>
      <c r="I301" s="17" t="n">
        <f aca="false">IF(H301=1,D301,G301)</f>
        <v>6.05163</v>
      </c>
    </row>
    <row r="302" customFormat="false" ht="15" hidden="false" customHeight="false" outlineLevel="0" collapsed="false">
      <c r="A302" s="13" t="s">
        <v>231</v>
      </c>
      <c r="B302" s="13" t="s">
        <v>30</v>
      </c>
      <c r="C302" s="13" t="s">
        <v>31</v>
      </c>
      <c r="D302" s="15" t="n">
        <v>0.52879</v>
      </c>
      <c r="E302" s="13" t="n">
        <v>0.99771</v>
      </c>
      <c r="F302" s="16" t="n">
        <f aca="false">IF(H302=1,"",D302/E302)</f>
        <v>0.530003708492448</v>
      </c>
      <c r="G302" s="17" t="n">
        <f aca="false">IF(H302=1,"",D302/E302*Notas!$B$3)</f>
        <v>50.3503523067825</v>
      </c>
      <c r="H302" s="13" t="n">
        <v>0</v>
      </c>
      <c r="I302" s="17" t="n">
        <f aca="false">IF(H302=1,D302,G302)</f>
        <v>50.3503523067825</v>
      </c>
    </row>
    <row r="303" customFormat="false" ht="15" hidden="false" customHeight="false" outlineLevel="0" collapsed="false">
      <c r="A303" s="13" t="s">
        <v>231</v>
      </c>
      <c r="B303" s="13" t="s">
        <v>30</v>
      </c>
      <c r="C303" s="13" t="s">
        <v>32</v>
      </c>
      <c r="D303" s="15" t="n">
        <v>0.46893</v>
      </c>
      <c r="E303" s="13" t="n">
        <v>0.99771</v>
      </c>
      <c r="F303" s="16" t="n">
        <f aca="false">IF(H303=1,"",D303/E303)</f>
        <v>0.470006314460114</v>
      </c>
      <c r="G303" s="17" t="n">
        <f aca="false">IF(H303=1,"",D303/E303*Notas!$B$3)</f>
        <v>44.6505998737108</v>
      </c>
      <c r="H303" s="13" t="n">
        <v>0</v>
      </c>
      <c r="I303" s="17" t="n">
        <f aca="false">IF(H303=1,D303,G303)</f>
        <v>44.6505998737108</v>
      </c>
    </row>
    <row r="304" customFormat="false" ht="15" hidden="false" customHeight="false" outlineLevel="0" collapsed="false">
      <c r="A304" s="13" t="s">
        <v>231</v>
      </c>
      <c r="B304" s="13" t="s">
        <v>30</v>
      </c>
      <c r="C304" s="13" t="s">
        <v>33</v>
      </c>
      <c r="D304" s="15" t="n">
        <v>0.54562</v>
      </c>
      <c r="E304" s="13" t="n">
        <v>0.99771</v>
      </c>
      <c r="F304" s="16" t="n">
        <f aca="false">IF(H304=1,"",D304/E304)</f>
        <v>0.546872337653226</v>
      </c>
      <c r="G304" s="17" t="n">
        <f aca="false">IF(H304=1,"",D304/E304*Notas!$B$3)</f>
        <v>51.9528720770565</v>
      </c>
      <c r="H304" s="13" t="n">
        <v>0</v>
      </c>
      <c r="I304" s="17" t="n">
        <f aca="false">IF(H304=1,D304,G304)</f>
        <v>51.9528720770565</v>
      </c>
    </row>
    <row r="305" customFormat="false" ht="15" hidden="false" customHeight="false" outlineLevel="0" collapsed="false">
      <c r="A305" s="13" t="s">
        <v>231</v>
      </c>
      <c r="B305" s="13" t="s">
        <v>30</v>
      </c>
      <c r="C305" s="13" t="s">
        <v>34</v>
      </c>
      <c r="D305" s="15" t="n">
        <v>0.4406</v>
      </c>
      <c r="E305" s="13" t="n">
        <v>0.99771</v>
      </c>
      <c r="F305" s="16" t="n">
        <f aca="false">IF(H305=1,"",D305/E305)</f>
        <v>0.441611289853765</v>
      </c>
      <c r="G305" s="17" t="n">
        <f aca="false">IF(H305=1,"",D305/E305*Notas!$B$3)</f>
        <v>41.9530725361077</v>
      </c>
      <c r="H305" s="13" t="n">
        <v>0</v>
      </c>
      <c r="I305" s="17" t="n">
        <f aca="false">IF(H305=1,D305,G305)</f>
        <v>41.9530725361077</v>
      </c>
    </row>
    <row r="306" customFormat="false" ht="15" hidden="false" customHeight="false" outlineLevel="0" collapsed="false">
      <c r="A306" s="13" t="s">
        <v>231</v>
      </c>
      <c r="B306" s="13" t="s">
        <v>35</v>
      </c>
      <c r="C306" s="13" t="s">
        <v>36</v>
      </c>
      <c r="D306" s="15" t="n">
        <v>2.12766</v>
      </c>
      <c r="E306" s="13" t="n">
        <v>0.99771</v>
      </c>
      <c r="F306" s="16" t="str">
        <f aca="false">IF(H306=1,"",D306/E306)</f>
        <v/>
      </c>
      <c r="G306" s="17" t="str">
        <f aca="false">IF(H306=1,"",D306/E306*Notas!$B$3)</f>
        <v/>
      </c>
      <c r="H306" s="13" t="n">
        <v>1</v>
      </c>
      <c r="I306" s="17" t="n">
        <f aca="false">IF(H306=1,D306,G306)</f>
        <v>2.12766</v>
      </c>
    </row>
    <row r="307" customFormat="false" ht="15" hidden="false" customHeight="false" outlineLevel="0" collapsed="false">
      <c r="A307" s="13" t="s">
        <v>231</v>
      </c>
      <c r="B307" s="13" t="s">
        <v>35</v>
      </c>
      <c r="C307" s="13" t="s">
        <v>37</v>
      </c>
      <c r="D307" s="15" t="n">
        <v>47</v>
      </c>
      <c r="E307" s="13" t="n">
        <v>0.99771</v>
      </c>
      <c r="F307" s="16" t="str">
        <f aca="false">IF(H307=1,"",D307/E307)</f>
        <v/>
      </c>
      <c r="G307" s="17" t="str">
        <f aca="false">IF(H307=1,"",D307/E307*Notas!$B$3)</f>
        <v/>
      </c>
      <c r="H307" s="13" t="n">
        <v>1</v>
      </c>
      <c r="I307" s="17" t="n">
        <f aca="false">IF(H307=1,D307,G307)</f>
        <v>47</v>
      </c>
    </row>
    <row r="308" customFormat="false" ht="15" hidden="false" customHeight="false" outlineLevel="0" collapsed="false">
      <c r="A308" s="13" t="s">
        <v>231</v>
      </c>
      <c r="B308" s="13" t="s">
        <v>38</v>
      </c>
      <c r="C308" s="13" t="s">
        <v>39</v>
      </c>
      <c r="D308" s="15" t="n">
        <v>0.66703</v>
      </c>
      <c r="E308" s="13" t="n">
        <v>0.99771</v>
      </c>
      <c r="F308" s="16" t="n">
        <f aca="false">IF(H308=1,"",D308/E308)</f>
        <v>0.668561004700765</v>
      </c>
      <c r="G308" s="17" t="n">
        <f aca="false">IF(H308=1,"",D308/E308*Notas!$B$3)</f>
        <v>63.5132954465727</v>
      </c>
      <c r="H308" s="13" t="n">
        <v>0</v>
      </c>
      <c r="I308" s="17" t="n">
        <f aca="false">IF(H308=1,D308,G308)</f>
        <v>63.5132954465727</v>
      </c>
    </row>
    <row r="309" customFormat="false" ht="15" hidden="false" customHeight="false" outlineLevel="0" collapsed="false">
      <c r="A309" s="13" t="s">
        <v>231</v>
      </c>
      <c r="B309" s="13" t="s">
        <v>38</v>
      </c>
      <c r="C309" s="13" t="s">
        <v>40</v>
      </c>
      <c r="D309" s="15" t="n">
        <v>0.14804</v>
      </c>
      <c r="E309" s="13" t="n">
        <v>0.99771</v>
      </c>
      <c r="F309" s="16" t="n">
        <f aca="false">IF(H309=1,"",D309/E309)</f>
        <v>0.148379789718455</v>
      </c>
      <c r="G309" s="17" t="n">
        <f aca="false">IF(H309=1,"",D309/E309*Notas!$B$3)</f>
        <v>14.0960800232533</v>
      </c>
      <c r="H309" s="13" t="n">
        <v>0</v>
      </c>
      <c r="I309" s="17" t="n">
        <f aca="false">IF(H309=1,D309,G309)</f>
        <v>14.0960800232533</v>
      </c>
    </row>
    <row r="310" customFormat="false" ht="15" hidden="false" customHeight="false" outlineLevel="0" collapsed="false">
      <c r="A310" s="13" t="s">
        <v>231</v>
      </c>
      <c r="B310" s="13" t="s">
        <v>38</v>
      </c>
      <c r="C310" s="13" t="s">
        <v>41</v>
      </c>
      <c r="D310" s="15" t="n">
        <v>0.20575</v>
      </c>
      <c r="E310" s="13" t="n">
        <v>0.99771</v>
      </c>
      <c r="F310" s="16" t="n">
        <f aca="false">IF(H310=1,"",D310/E310)</f>
        <v>0.206222248950096</v>
      </c>
      <c r="G310" s="17" t="n">
        <f aca="false">IF(H310=1,"",D310/E310*Notas!$B$3)</f>
        <v>19.5911136502591</v>
      </c>
      <c r="H310" s="13" t="n">
        <v>0</v>
      </c>
      <c r="I310" s="17" t="n">
        <f aca="false">IF(H310=1,D310,G310)</f>
        <v>19.5911136502591</v>
      </c>
    </row>
    <row r="311" customFormat="false" ht="15" hidden="false" customHeight="false" outlineLevel="0" collapsed="false">
      <c r="A311" s="13" t="s">
        <v>231</v>
      </c>
      <c r="B311" s="13" t="s">
        <v>38</v>
      </c>
      <c r="C311" s="13" t="s">
        <v>42</v>
      </c>
      <c r="D311" s="15" t="n">
        <v>-0.10422</v>
      </c>
      <c r="E311" s="13" t="n">
        <v>0.99771</v>
      </c>
      <c r="F311" s="16" t="n">
        <f aca="false">IF(H311=1,"",D311/E311)</f>
        <v>-0.104459211594552</v>
      </c>
      <c r="G311" s="17" t="n">
        <f aca="false">IF(H311=1,"",D311/E311*Notas!$B$3)</f>
        <v>-9.92362510148239</v>
      </c>
      <c r="H311" s="13" t="n">
        <v>0</v>
      </c>
      <c r="I311" s="17" t="n">
        <f aca="false">IF(H311=1,D311,G311)</f>
        <v>-9.92362510148239</v>
      </c>
    </row>
    <row r="312" customFormat="false" ht="15" hidden="false" customHeight="false" outlineLevel="0" collapsed="false">
      <c r="A312" s="13" t="s">
        <v>231</v>
      </c>
      <c r="B312" s="13" t="s">
        <v>38</v>
      </c>
      <c r="C312" s="13" t="s">
        <v>43</v>
      </c>
      <c r="D312" s="15" t="n">
        <v>0.68039</v>
      </c>
      <c r="E312" s="13" t="n">
        <v>0.99771</v>
      </c>
      <c r="F312" s="16" t="n">
        <f aca="false">IF(H312=1,"",D312/E312)</f>
        <v>0.681951669322749</v>
      </c>
      <c r="G312" s="17" t="n">
        <f aca="false">IF(H312=1,"",D312/E312*Notas!$B$3)</f>
        <v>64.7854085856612</v>
      </c>
      <c r="H312" s="13" t="n">
        <v>0</v>
      </c>
      <c r="I312" s="17" t="n">
        <f aca="false">IF(H312=1,D312,G312)</f>
        <v>64.7854085856612</v>
      </c>
    </row>
    <row r="313" customFormat="false" ht="15" hidden="false" customHeight="false" outlineLevel="0" collapsed="false">
      <c r="A313" s="13" t="s">
        <v>231</v>
      </c>
      <c r="B313" s="13" t="s">
        <v>38</v>
      </c>
      <c r="C313" s="13" t="s">
        <v>44</v>
      </c>
      <c r="D313" s="15" t="n">
        <v>0.10624</v>
      </c>
      <c r="E313" s="13" t="n">
        <v>0.99771</v>
      </c>
      <c r="F313" s="16" t="n">
        <f aca="false">IF(H313=1,"",D313/E313)</f>
        <v>0.106483848011947</v>
      </c>
      <c r="G313" s="17" t="n">
        <f aca="false">IF(H313=1,"",D313/E313*Notas!$B$3)</f>
        <v>10.115965561135</v>
      </c>
      <c r="H313" s="13" t="n">
        <v>0</v>
      </c>
      <c r="I313" s="17" t="n">
        <f aca="false">IF(H313=1,D313,G313)</f>
        <v>10.115965561135</v>
      </c>
    </row>
    <row r="314" customFormat="false" ht="15" hidden="false" customHeight="false" outlineLevel="0" collapsed="false">
      <c r="A314" s="13" t="s">
        <v>231</v>
      </c>
      <c r="B314" s="13" t="s">
        <v>38</v>
      </c>
      <c r="C314" s="13" t="s">
        <v>45</v>
      </c>
      <c r="D314" s="15" t="n">
        <v>0.18813</v>
      </c>
      <c r="E314" s="13" t="n">
        <v>0.99771</v>
      </c>
      <c r="F314" s="16" t="n">
        <f aca="false">IF(H314=1,"",D314/E314)</f>
        <v>0.18856180653697</v>
      </c>
      <c r="G314" s="17" t="n">
        <f aca="false">IF(H314=1,"",D314/E314*Notas!$B$3)</f>
        <v>17.9133716210121</v>
      </c>
      <c r="H314" s="13" t="n">
        <v>0</v>
      </c>
      <c r="I314" s="17" t="n">
        <f aca="false">IF(H314=1,D314,G314)</f>
        <v>17.9133716210121</v>
      </c>
    </row>
    <row r="315" customFormat="false" ht="15" hidden="false" customHeight="false" outlineLevel="0" collapsed="false">
      <c r="A315" s="13" t="s">
        <v>231</v>
      </c>
      <c r="B315" s="13" t="s">
        <v>38</v>
      </c>
      <c r="C315" s="13" t="s">
        <v>46</v>
      </c>
      <c r="D315" s="15" t="n">
        <v>0.08637</v>
      </c>
      <c r="E315" s="13" t="n">
        <v>0.99771</v>
      </c>
      <c r="F315" s="16" t="n">
        <f aca="false">IF(H315=1,"",D315/E315)</f>
        <v>0.0865682412725141</v>
      </c>
      <c r="G315" s="17" t="n">
        <f aca="false">IF(H315=1,"",D315/E315*Notas!$B$3)</f>
        <v>8.22398292088884</v>
      </c>
      <c r="H315" s="13" t="n">
        <v>0</v>
      </c>
      <c r="I315" s="17" t="n">
        <f aca="false">IF(H315=1,D315,G315)</f>
        <v>8.22398292088884</v>
      </c>
    </row>
    <row r="316" customFormat="false" ht="15" hidden="false" customHeight="false" outlineLevel="0" collapsed="false">
      <c r="A316" s="13" t="s">
        <v>231</v>
      </c>
      <c r="B316" s="13" t="s">
        <v>38</v>
      </c>
      <c r="C316" s="13" t="s">
        <v>47</v>
      </c>
      <c r="D316" s="15" t="n">
        <v>0.21029</v>
      </c>
      <c r="E316" s="13" t="n">
        <v>0.99771</v>
      </c>
      <c r="F316" s="16" t="n">
        <f aca="false">IF(H316=1,"",D316/E316)</f>
        <v>0.210772669412956</v>
      </c>
      <c r="G316" s="17" t="n">
        <f aca="false">IF(H316=1,"",D316/E316*Notas!$B$3)</f>
        <v>20.0234035942308</v>
      </c>
      <c r="H316" s="13" t="n">
        <v>0</v>
      </c>
      <c r="I316" s="17" t="n">
        <f aca="false">IF(H316=1,D316,G316)</f>
        <v>20.0234035942308</v>
      </c>
    </row>
    <row r="317" customFormat="false" ht="15" hidden="false" customHeight="false" outlineLevel="0" collapsed="false">
      <c r="A317" s="13" t="s">
        <v>231</v>
      </c>
      <c r="B317" s="13" t="s">
        <v>38</v>
      </c>
      <c r="C317" s="13" t="s">
        <v>48</v>
      </c>
      <c r="D317" s="15" t="n">
        <v>0.31773</v>
      </c>
      <c r="E317" s="13" t="n">
        <v>0.99771</v>
      </c>
      <c r="F317" s="16" t="n">
        <f aca="false">IF(H317=1,"",D317/E317)</f>
        <v>0.318459271732267</v>
      </c>
      <c r="G317" s="17" t="n">
        <f aca="false">IF(H317=1,"",D317/E317*Notas!$B$3)</f>
        <v>30.2536308145654</v>
      </c>
      <c r="H317" s="13" t="n">
        <v>0</v>
      </c>
      <c r="I317" s="17" t="n">
        <f aca="false">IF(H317=1,D317,G317)</f>
        <v>30.2536308145654</v>
      </c>
    </row>
    <row r="318" customFormat="false" ht="15" hidden="false" customHeight="false" outlineLevel="0" collapsed="false">
      <c r="A318" s="13" t="s">
        <v>231</v>
      </c>
      <c r="B318" s="13" t="s">
        <v>30</v>
      </c>
      <c r="C318" s="13" t="s">
        <v>49</v>
      </c>
      <c r="D318" s="15" t="n">
        <v>0.46697</v>
      </c>
      <c r="E318" s="13" t="n">
        <v>0.99771</v>
      </c>
      <c r="F318" s="16" t="n">
        <f aca="false">IF(H318=1,"",D318/E318)</f>
        <v>0.468041815758086</v>
      </c>
      <c r="G318" s="17" t="n">
        <f aca="false">IF(H318=1,"",D318/E318*Notas!$B$3)</f>
        <v>44.4639724970182</v>
      </c>
      <c r="H318" s="13" t="n">
        <v>0</v>
      </c>
      <c r="I318" s="17" t="n">
        <f aca="false">IF(H318=1,D318,G318)</f>
        <v>44.4639724970182</v>
      </c>
    </row>
    <row r="319" customFormat="false" ht="15" hidden="false" customHeight="false" outlineLevel="0" collapsed="false">
      <c r="A319" s="13" t="s">
        <v>231</v>
      </c>
      <c r="B319" s="13" t="s">
        <v>30</v>
      </c>
      <c r="C319" s="13" t="s">
        <v>50</v>
      </c>
      <c r="D319" s="15" t="n">
        <v>0.35862</v>
      </c>
      <c r="E319" s="13" t="n">
        <v>0.99771</v>
      </c>
      <c r="F319" s="16" t="n">
        <f aca="false">IF(H319=1,"",D319/E319)</f>
        <v>0.359443124755691</v>
      </c>
      <c r="G319" s="17" t="n">
        <f aca="false">IF(H319=1,"",D319/E319*Notas!$B$3)</f>
        <v>34.1470968517906</v>
      </c>
      <c r="H319" s="13" t="n">
        <v>0</v>
      </c>
      <c r="I319" s="17" t="n">
        <f aca="false">IF(H319=1,D319,G319)</f>
        <v>34.1470968517906</v>
      </c>
    </row>
    <row r="320" customFormat="false" ht="15" hidden="false" customHeight="false" outlineLevel="0" collapsed="false">
      <c r="A320" s="13" t="s">
        <v>231</v>
      </c>
      <c r="B320" s="13" t="s">
        <v>30</v>
      </c>
      <c r="C320" s="13" t="s">
        <v>51</v>
      </c>
      <c r="D320" s="15" t="n">
        <v>1.80482</v>
      </c>
      <c r="E320" s="13" t="n">
        <v>0.99771</v>
      </c>
      <c r="F320" s="16" t="n">
        <f aca="false">IF(H320=1,"",D320/E320)</f>
        <v>1.80896252418037</v>
      </c>
      <c r="G320" s="17" t="n">
        <f aca="false">IF(H320=1,"",D320/E320*Notas!$B$3)</f>
        <v>171.851439797135</v>
      </c>
      <c r="H320" s="13" t="n">
        <v>0</v>
      </c>
      <c r="I320" s="17" t="n">
        <f aca="false">IF(H320=1,D320,G320)</f>
        <v>171.851439797135</v>
      </c>
    </row>
    <row r="321" customFormat="false" ht="15" hidden="false" customHeight="false" outlineLevel="0" collapsed="false">
      <c r="A321" s="13" t="s">
        <v>231</v>
      </c>
      <c r="B321" s="13" t="s">
        <v>30</v>
      </c>
      <c r="C321" s="13" t="s">
        <v>52</v>
      </c>
      <c r="D321" s="15" t="n">
        <v>0.42175</v>
      </c>
      <c r="E321" s="13" t="n">
        <v>0.99771</v>
      </c>
      <c r="F321" s="16" t="n">
        <f aca="false">IF(H321=1,"",D321/E321)</f>
        <v>0.422718024275591</v>
      </c>
      <c r="G321" s="17" t="n">
        <f aca="false">IF(H321=1,"",D321/E321*Notas!$B$3)</f>
        <v>40.1582123061812</v>
      </c>
      <c r="H321" s="13" t="n">
        <v>0</v>
      </c>
      <c r="I321" s="17" t="n">
        <f aca="false">IF(H321=1,D321,G321)</f>
        <v>40.1582123061812</v>
      </c>
    </row>
    <row r="322" customFormat="false" ht="15" hidden="false" customHeight="false" outlineLevel="0" collapsed="false">
      <c r="A322" s="13" t="s">
        <v>231</v>
      </c>
      <c r="B322" s="13" t="s">
        <v>30</v>
      </c>
      <c r="C322" s="13" t="s">
        <v>53</v>
      </c>
      <c r="D322" s="15" t="n">
        <v>0.41669</v>
      </c>
      <c r="E322" s="13" t="n">
        <v>0.99771</v>
      </c>
      <c r="F322" s="16" t="n">
        <f aca="false">IF(H322=1,"",D322/E322)</f>
        <v>0.41764641027954</v>
      </c>
      <c r="G322" s="17" t="n">
        <f aca="false">IF(H322=1,"",D322/E322*Notas!$B$3)</f>
        <v>39.6764089765563</v>
      </c>
      <c r="H322" s="13" t="n">
        <v>0</v>
      </c>
      <c r="I322" s="17" t="n">
        <f aca="false">IF(H322=1,D322,G322)</f>
        <v>39.6764089765563</v>
      </c>
    </row>
    <row r="323" customFormat="false" ht="15" hidden="false" customHeight="false" outlineLevel="0" collapsed="false">
      <c r="A323" s="13" t="s">
        <v>231</v>
      </c>
      <c r="B323" s="13" t="s">
        <v>30</v>
      </c>
      <c r="C323" s="13" t="s">
        <v>54</v>
      </c>
      <c r="D323" s="15" t="n">
        <v>1.76339</v>
      </c>
      <c r="E323" s="13" t="n">
        <v>0.99771</v>
      </c>
      <c r="F323" s="16" t="n">
        <f aca="false">IF(H323=1,"",D323/E323)</f>
        <v>1.76743743171864</v>
      </c>
      <c r="G323" s="17" t="n">
        <f aca="false">IF(H323=1,"",D323/E323*Notas!$B$3)</f>
        <v>167.90655601327</v>
      </c>
      <c r="H323" s="13" t="n">
        <v>0</v>
      </c>
      <c r="I323" s="17" t="n">
        <f aca="false">IF(H323=1,D323,G323)</f>
        <v>167.90655601327</v>
      </c>
    </row>
    <row r="324" customFormat="false" ht="15" hidden="false" customHeight="false" outlineLevel="0" collapsed="false">
      <c r="A324" s="13" t="s">
        <v>231</v>
      </c>
      <c r="B324" s="13" t="s">
        <v>30</v>
      </c>
      <c r="C324" s="13" t="s">
        <v>55</v>
      </c>
      <c r="D324" s="15" t="n">
        <v>0.37599</v>
      </c>
      <c r="E324" s="13" t="n">
        <v>0.99771</v>
      </c>
      <c r="F324" s="16" t="n">
        <f aca="false">IF(H324=1,"",D324/E324)</f>
        <v>0.376852993354782</v>
      </c>
      <c r="G324" s="17" t="n">
        <f aca="false">IF(H324=1,"",D324/E324*Notas!$B$3)</f>
        <v>35.8010343687043</v>
      </c>
      <c r="H324" s="13" t="n">
        <v>0</v>
      </c>
      <c r="I324" s="17" t="n">
        <f aca="false">IF(H324=1,D324,G324)</f>
        <v>35.8010343687043</v>
      </c>
    </row>
    <row r="325" customFormat="false" ht="15" hidden="false" customHeight="false" outlineLevel="0" collapsed="false">
      <c r="A325" s="13" t="s">
        <v>231</v>
      </c>
      <c r="B325" s="13" t="s">
        <v>30</v>
      </c>
      <c r="C325" s="13" t="s">
        <v>56</v>
      </c>
      <c r="D325" s="15" t="n">
        <v>0.41588</v>
      </c>
      <c r="E325" s="13" t="n">
        <v>0.99771</v>
      </c>
      <c r="F325" s="16" t="n">
        <f aca="false">IF(H325=1,"",D325/E325)</f>
        <v>0.41683455112207</v>
      </c>
      <c r="G325" s="17" t="n">
        <f aca="false">IF(H325=1,"",D325/E325*Notas!$B$3)</f>
        <v>39.5992823565966</v>
      </c>
      <c r="H325" s="13" t="n">
        <v>0</v>
      </c>
      <c r="I325" s="17" t="n">
        <f aca="false">IF(H325=1,D325,G325)</f>
        <v>39.5992823565966</v>
      </c>
    </row>
    <row r="326" customFormat="false" ht="15" hidden="false" customHeight="false" outlineLevel="0" collapsed="false">
      <c r="A326" s="13" t="s">
        <v>231</v>
      </c>
      <c r="B326" s="13" t="s">
        <v>30</v>
      </c>
      <c r="C326" s="13" t="s">
        <v>57</v>
      </c>
      <c r="D326" s="15" t="n">
        <v>1.38768</v>
      </c>
      <c r="E326" s="13" t="n">
        <v>0.99771</v>
      </c>
      <c r="F326" s="16" t="n">
        <f aca="false">IF(H326=1,"",D326/E326)</f>
        <v>1.39086508103557</v>
      </c>
      <c r="G326" s="17" t="n">
        <f aca="false">IF(H326=1,"",D326/E326*Notas!$B$3)</f>
        <v>132.132182698379</v>
      </c>
      <c r="H326" s="13" t="n">
        <v>0</v>
      </c>
      <c r="I326" s="17" t="n">
        <f aca="false">IF(H326=1,D326,G326)</f>
        <v>132.132182698379</v>
      </c>
    </row>
    <row r="327" customFormat="false" ht="15" hidden="false" customHeight="false" outlineLevel="0" collapsed="false">
      <c r="A327" s="13" t="s">
        <v>231</v>
      </c>
      <c r="B327" s="13" t="s">
        <v>58</v>
      </c>
      <c r="C327" s="13" t="s">
        <v>59</v>
      </c>
      <c r="D327" s="15" t="n">
        <v>0.71034</v>
      </c>
      <c r="E327" s="13" t="n">
        <v>0.99771</v>
      </c>
      <c r="F327" s="16" t="n">
        <f aca="false">IF(H327=1,"",D327/E327)</f>
        <v>0.711970412244039</v>
      </c>
      <c r="G327" s="17" t="n">
        <f aca="false">IF(H327=1,"",D327/E327*Notas!$B$3)</f>
        <v>67.6371891631837</v>
      </c>
      <c r="H327" s="13" t="n">
        <v>0</v>
      </c>
      <c r="I327" s="17" t="n">
        <f aca="false">IF(H327=1,D327,G327)</f>
        <v>67.6371891631837</v>
      </c>
    </row>
    <row r="328" customFormat="false" ht="15" hidden="false" customHeight="false" outlineLevel="0" collapsed="false">
      <c r="A328" s="13" t="s">
        <v>231</v>
      </c>
      <c r="B328" s="13" t="s">
        <v>58</v>
      </c>
      <c r="C328" s="13" t="s">
        <v>60</v>
      </c>
      <c r="D328" s="15" t="n">
        <v>0.25838</v>
      </c>
      <c r="E328" s="13" t="n">
        <v>0.99771</v>
      </c>
      <c r="F328" s="16" t="n">
        <f aca="false">IF(H328=1,"",D328/E328)</f>
        <v>0.258973048280563</v>
      </c>
      <c r="G328" s="17" t="n">
        <f aca="false">IF(H328=1,"",D328/E328*Notas!$B$3)</f>
        <v>24.6024395866534</v>
      </c>
      <c r="H328" s="13" t="n">
        <v>0</v>
      </c>
      <c r="I328" s="17" t="n">
        <f aca="false">IF(H328=1,D328,G328)</f>
        <v>24.6024395866534</v>
      </c>
    </row>
    <row r="329" customFormat="false" ht="15" hidden="false" customHeight="false" outlineLevel="0" collapsed="false">
      <c r="A329" s="13" t="s">
        <v>231</v>
      </c>
      <c r="B329" s="13" t="s">
        <v>58</v>
      </c>
      <c r="C329" s="13" t="s">
        <v>61</v>
      </c>
      <c r="D329" s="15" t="n">
        <v>0.69551</v>
      </c>
      <c r="E329" s="13" t="n">
        <v>0.99771</v>
      </c>
      <c r="F329" s="16" t="n">
        <f aca="false">IF(H329=1,"",D329/E329)</f>
        <v>0.697106373595534</v>
      </c>
      <c r="G329" s="17" t="n">
        <f aca="false">IF(H329=1,"",D329/E329*Notas!$B$3)</f>
        <v>66.2251054915757</v>
      </c>
      <c r="H329" s="13" t="n">
        <v>0</v>
      </c>
      <c r="I329" s="17" t="n">
        <f aca="false">IF(H329=1,D329,G329)</f>
        <v>66.2251054915757</v>
      </c>
    </row>
    <row r="330" customFormat="false" ht="15" hidden="false" customHeight="false" outlineLevel="0" collapsed="false">
      <c r="A330" s="13" t="s">
        <v>231</v>
      </c>
      <c r="B330" s="13" t="s">
        <v>58</v>
      </c>
      <c r="C330" s="13" t="s">
        <v>62</v>
      </c>
      <c r="D330" s="15" t="n">
        <v>0.22821</v>
      </c>
      <c r="E330" s="13" t="n">
        <v>0.99771</v>
      </c>
      <c r="F330" s="16" t="n">
        <f aca="false">IF(H330=1,"",D330/E330)</f>
        <v>0.228733800402923</v>
      </c>
      <c r="G330" s="17" t="n">
        <f aca="false">IF(H330=1,"",D330/E330*Notas!$B$3)</f>
        <v>21.7297110382777</v>
      </c>
      <c r="H330" s="13" t="n">
        <v>0</v>
      </c>
      <c r="I330" s="17" t="n">
        <f aca="false">IF(H330=1,D330,G330)</f>
        <v>21.7297110382777</v>
      </c>
    </row>
    <row r="331" customFormat="false" ht="15" hidden="false" customHeight="false" outlineLevel="0" collapsed="false">
      <c r="A331" s="13" t="s">
        <v>231</v>
      </c>
      <c r="B331" s="13" t="s">
        <v>63</v>
      </c>
      <c r="C331" s="13" t="s">
        <v>64</v>
      </c>
      <c r="D331" s="15" t="n">
        <v>0.5298</v>
      </c>
      <c r="E331" s="13" t="n">
        <v>0.99771</v>
      </c>
      <c r="F331" s="16" t="n">
        <f aca="false">IF(H331=1,"",D331/E331)</f>
        <v>0.531016026701146</v>
      </c>
      <c r="G331" s="17" t="n">
        <f aca="false">IF(H331=1,"",D331/E331*Notas!$B$3)</f>
        <v>50.4465225366088</v>
      </c>
      <c r="H331" s="13" t="n">
        <v>0</v>
      </c>
      <c r="I331" s="17" t="n">
        <f aca="false">IF(H331=1,D331,G331)</f>
        <v>50.4465225366088</v>
      </c>
    </row>
    <row r="332" customFormat="false" ht="15" hidden="false" customHeight="false" outlineLevel="0" collapsed="false">
      <c r="A332" s="13" t="s">
        <v>231</v>
      </c>
      <c r="B332" s="13" t="s">
        <v>63</v>
      </c>
      <c r="C332" s="13" t="s">
        <v>65</v>
      </c>
      <c r="D332" s="15" t="n">
        <v>0.27936</v>
      </c>
      <c r="E332" s="13" t="n">
        <v>0.99771</v>
      </c>
      <c r="F332" s="16" t="n">
        <f aca="false">IF(H332=1,"",D332/E332)</f>
        <v>0.280001202754307</v>
      </c>
      <c r="G332" s="17" t="n">
        <f aca="false">IF(H332=1,"",D332/E332*Notas!$B$3)</f>
        <v>26.6001142616592</v>
      </c>
      <c r="H332" s="13" t="n">
        <v>0</v>
      </c>
      <c r="I332" s="17" t="n">
        <f aca="false">IF(H332=1,D332,G332)</f>
        <v>26.6001142616592</v>
      </c>
    </row>
    <row r="333" customFormat="false" ht="15" hidden="false" customHeight="false" outlineLevel="0" collapsed="false">
      <c r="A333" s="13" t="s">
        <v>231</v>
      </c>
      <c r="B333" s="13" t="s">
        <v>63</v>
      </c>
      <c r="C333" s="13" t="s">
        <v>66</v>
      </c>
      <c r="D333" s="15" t="n">
        <v>0.25044</v>
      </c>
      <c r="E333" s="13" t="n">
        <v>0.99771</v>
      </c>
      <c r="F333" s="16" t="n">
        <f aca="false">IF(H333=1,"",D333/E333)</f>
        <v>0.251014823946838</v>
      </c>
      <c r="G333" s="17" t="n">
        <f aca="false">IF(H333=1,"",D333/E333*Notas!$B$3)</f>
        <v>23.8464082749496</v>
      </c>
      <c r="H333" s="13" t="n">
        <v>0</v>
      </c>
      <c r="I333" s="17" t="n">
        <f aca="false">IF(H333=1,D333,G333)</f>
        <v>23.8464082749496</v>
      </c>
    </row>
    <row r="334" customFormat="false" ht="15" hidden="false" customHeight="false" outlineLevel="0" collapsed="false">
      <c r="A334" s="13" t="s">
        <v>231</v>
      </c>
      <c r="B334" s="13" t="s">
        <v>63</v>
      </c>
      <c r="C334" s="13" t="s">
        <v>67</v>
      </c>
      <c r="D334" s="15" t="n">
        <v>0.23815</v>
      </c>
      <c r="E334" s="13" t="n">
        <v>0.99771</v>
      </c>
      <c r="F334" s="16" t="n">
        <f aca="false">IF(H334=1,"",D334/E334)</f>
        <v>0.23869661524892</v>
      </c>
      <c r="G334" s="17" t="n">
        <f aca="false">IF(H334=1,"",D334/E334*Notas!$B$3)</f>
        <v>22.6761784486474</v>
      </c>
      <c r="H334" s="13" t="n">
        <v>0</v>
      </c>
      <c r="I334" s="17" t="n">
        <f aca="false">IF(H334=1,D334,G334)</f>
        <v>22.6761784486474</v>
      </c>
    </row>
    <row r="335" customFormat="false" ht="15" hidden="false" customHeight="false" outlineLevel="0" collapsed="false">
      <c r="A335" s="13" t="s">
        <v>231</v>
      </c>
      <c r="B335" s="13" t="s">
        <v>63</v>
      </c>
      <c r="C335" s="13" t="s">
        <v>68</v>
      </c>
      <c r="D335" s="15" t="n">
        <v>0.20625</v>
      </c>
      <c r="E335" s="13" t="n">
        <v>0.99771</v>
      </c>
      <c r="F335" s="16" t="n">
        <f aca="false">IF(H335=1,"",D335/E335)</f>
        <v>0.206723396578164</v>
      </c>
      <c r="G335" s="17" t="n">
        <f aca="false">IF(H335=1,"",D335/E335*Notas!$B$3)</f>
        <v>19.6387226749256</v>
      </c>
      <c r="H335" s="13" t="n">
        <v>0</v>
      </c>
      <c r="I335" s="17" t="n">
        <f aca="false">IF(H335=1,D335,G335)</f>
        <v>19.6387226749256</v>
      </c>
    </row>
    <row r="336" customFormat="false" ht="15" hidden="false" customHeight="false" outlineLevel="0" collapsed="false">
      <c r="A336" s="13" t="s">
        <v>231</v>
      </c>
      <c r="B336" s="13" t="s">
        <v>178</v>
      </c>
      <c r="C336" s="13" t="s">
        <v>179</v>
      </c>
      <c r="D336" s="15" t="n">
        <v>0.49457</v>
      </c>
      <c r="E336" s="13" t="n">
        <v>0.99771</v>
      </c>
      <c r="F336" s="16" t="n">
        <f aca="false">IF(H336=1,"",D336/E336)</f>
        <v>0.495705164827455</v>
      </c>
      <c r="G336" s="17" t="n">
        <f aca="false">IF(H336=1,"",D336/E336*Notas!$B$3)</f>
        <v>47.0919906586082</v>
      </c>
      <c r="H336" s="13" t="n">
        <v>0</v>
      </c>
      <c r="I336" s="17" t="n">
        <f aca="false">IF(H336=1,D336,G336)</f>
        <v>47.0919906586082</v>
      </c>
    </row>
    <row r="337" customFormat="false" ht="15" hidden="false" customHeight="false" outlineLevel="0" collapsed="false">
      <c r="A337" s="13" t="s">
        <v>231</v>
      </c>
      <c r="B337" s="13" t="s">
        <v>178</v>
      </c>
      <c r="C337" s="13" t="s">
        <v>180</v>
      </c>
      <c r="D337" s="15" t="n">
        <v>0.26744</v>
      </c>
      <c r="E337" s="13" t="n">
        <v>0.99771</v>
      </c>
      <c r="F337" s="16" t="n">
        <f aca="false">IF(H337=1,"",D337/E337)</f>
        <v>0.26805384330116</v>
      </c>
      <c r="G337" s="17" t="n">
        <f aca="false">IF(H337=1,"",D337/E337*Notas!$B$3)</f>
        <v>25.4651151136102</v>
      </c>
      <c r="H337" s="13" t="n">
        <v>0</v>
      </c>
      <c r="I337" s="17" t="n">
        <f aca="false">IF(H337=1,D337,G337)</f>
        <v>25.4651151136102</v>
      </c>
    </row>
    <row r="338" customFormat="false" ht="15" hidden="false" customHeight="false" outlineLevel="0" collapsed="false">
      <c r="A338" s="13" t="s">
        <v>231</v>
      </c>
      <c r="B338" s="13" t="s">
        <v>178</v>
      </c>
      <c r="C338" s="13" t="s">
        <v>181</v>
      </c>
      <c r="D338" s="15" t="n">
        <v>0.22713</v>
      </c>
      <c r="E338" s="13" t="n">
        <v>0.99771</v>
      </c>
      <c r="F338" s="16" t="n">
        <f aca="false">IF(H338=1,"",D338/E338)</f>
        <v>0.227651321526295</v>
      </c>
      <c r="G338" s="17" t="n">
        <f aca="false">IF(H338=1,"",D338/E338*Notas!$B$3)</f>
        <v>21.626875544998</v>
      </c>
      <c r="H338" s="13" t="n">
        <v>0</v>
      </c>
      <c r="I338" s="17" t="n">
        <f aca="false">IF(H338=1,D338,G338)</f>
        <v>21.626875544998</v>
      </c>
    </row>
    <row r="339" customFormat="false" ht="15" hidden="false" customHeight="false" outlineLevel="0" collapsed="false">
      <c r="A339" s="13" t="s">
        <v>231</v>
      </c>
      <c r="B339" s="13" t="s">
        <v>178</v>
      </c>
      <c r="C339" s="13" t="s">
        <v>73</v>
      </c>
      <c r="D339" s="15" t="n">
        <v>0.10039</v>
      </c>
      <c r="E339" s="13" t="n">
        <v>0.99771</v>
      </c>
      <c r="F339" s="16" t="n">
        <f aca="false">IF(H339=1,"",D339/E339)</f>
        <v>0.100620420763549</v>
      </c>
      <c r="G339" s="17" t="n">
        <f aca="false">IF(H339=1,"",D339/E339*Notas!$B$3)</f>
        <v>9.55893997253711</v>
      </c>
      <c r="H339" s="13" t="n">
        <v>0</v>
      </c>
      <c r="I339" s="17" t="n">
        <f aca="false">IF(H339=1,D339,G339)</f>
        <v>9.55893997253711</v>
      </c>
    </row>
    <row r="340" customFormat="false" ht="15" hidden="false" customHeight="false" outlineLevel="0" collapsed="false">
      <c r="A340" s="13" t="s">
        <v>231</v>
      </c>
      <c r="B340" s="13" t="s">
        <v>69</v>
      </c>
      <c r="C340" s="13" t="s">
        <v>70</v>
      </c>
      <c r="D340" s="15" t="n">
        <v>0.30948</v>
      </c>
      <c r="E340" s="13" t="n">
        <v>0.99771</v>
      </c>
      <c r="F340" s="16" t="n">
        <f aca="false">IF(H340=1,"",D340/E340)</f>
        <v>0.31019033586914</v>
      </c>
      <c r="G340" s="17" t="n">
        <f aca="false">IF(H340=1,"",D340/E340*Notas!$B$3)</f>
        <v>29.4680819075683</v>
      </c>
      <c r="H340" s="13" t="n">
        <v>0</v>
      </c>
      <c r="I340" s="17" t="n">
        <f aca="false">IF(H340=1,D340,G340)</f>
        <v>29.4680819075683</v>
      </c>
    </row>
    <row r="341" customFormat="false" ht="15" hidden="false" customHeight="false" outlineLevel="0" collapsed="false">
      <c r="A341" s="13" t="s">
        <v>231</v>
      </c>
      <c r="B341" s="13" t="s">
        <v>69</v>
      </c>
      <c r="C341" s="13" t="s">
        <v>71</v>
      </c>
      <c r="D341" s="15" t="n">
        <v>0.06951</v>
      </c>
      <c r="E341" s="13" t="n">
        <v>0.99771</v>
      </c>
      <c r="F341" s="16" t="n">
        <f aca="false">IF(H341=1,"",D341/E341)</f>
        <v>0.0696695432540518</v>
      </c>
      <c r="G341" s="17" t="n">
        <f aca="false">IF(H341=1,"",D341/E341*Notas!$B$3)</f>
        <v>6.61860660913492</v>
      </c>
      <c r="H341" s="13" t="n">
        <v>0</v>
      </c>
      <c r="I341" s="17" t="n">
        <f aca="false">IF(H341=1,D341,G341)</f>
        <v>6.61860660913492</v>
      </c>
    </row>
    <row r="342" customFormat="false" ht="15" hidden="false" customHeight="false" outlineLevel="0" collapsed="false">
      <c r="A342" s="13" t="s">
        <v>231</v>
      </c>
      <c r="B342" s="13" t="s">
        <v>69</v>
      </c>
      <c r="C342" s="13" t="s">
        <v>72</v>
      </c>
      <c r="D342" s="15" t="n">
        <v>0.23998</v>
      </c>
      <c r="E342" s="13" t="n">
        <v>0.99771</v>
      </c>
      <c r="F342" s="16" t="n">
        <f aca="false">IF(H342=1,"",D342/E342)</f>
        <v>0.24053081556765</v>
      </c>
      <c r="G342" s="17" t="n">
        <f aca="false">IF(H342=1,"",D342/E342*Notas!$B$3)</f>
        <v>22.8504274789267</v>
      </c>
      <c r="H342" s="13" t="n">
        <v>0</v>
      </c>
      <c r="I342" s="17" t="n">
        <f aca="false">IF(H342=1,D342,G342)</f>
        <v>22.8504274789267</v>
      </c>
    </row>
    <row r="343" customFormat="false" ht="15" hidden="false" customHeight="false" outlineLevel="0" collapsed="false">
      <c r="A343" s="13" t="s">
        <v>231</v>
      </c>
      <c r="B343" s="13" t="s">
        <v>69</v>
      </c>
      <c r="C343" s="13" t="s">
        <v>73</v>
      </c>
      <c r="D343" s="15" t="n">
        <v>0.25585</v>
      </c>
      <c r="E343" s="13" t="n">
        <v>0.99771</v>
      </c>
      <c r="F343" s="16" t="n">
        <f aca="false">IF(H343=1,"",D343/E343)</f>
        <v>0.256437241282537</v>
      </c>
      <c r="G343" s="17" t="n">
        <f aca="false">IF(H343=1,"",D343/E343*Notas!$B$3)</f>
        <v>24.361537921841</v>
      </c>
      <c r="H343" s="13" t="n">
        <v>0</v>
      </c>
      <c r="I343" s="17" t="n">
        <f aca="false">IF(H343=1,D343,G343)</f>
        <v>24.361537921841</v>
      </c>
    </row>
    <row r="344" customFormat="false" ht="15" hidden="false" customHeight="false" outlineLevel="0" collapsed="false">
      <c r="A344" s="13" t="s">
        <v>231</v>
      </c>
      <c r="B344" s="13" t="s">
        <v>69</v>
      </c>
      <c r="C344" s="13" t="s">
        <v>74</v>
      </c>
      <c r="D344" s="15" t="n">
        <v>0.1738</v>
      </c>
      <c r="E344" s="13" t="n">
        <v>0.99771</v>
      </c>
      <c r="F344" s="16" t="n">
        <f aca="false">IF(H344=1,"",D344/E344)</f>
        <v>0.174198915516533</v>
      </c>
      <c r="G344" s="17" t="n">
        <f aca="false">IF(H344=1,"",D344/E344*Notas!$B$3)</f>
        <v>16.5488969740706</v>
      </c>
      <c r="H344" s="13" t="n">
        <v>0</v>
      </c>
      <c r="I344" s="17" t="n">
        <f aca="false">IF(H344=1,D344,G344)</f>
        <v>16.5488969740706</v>
      </c>
    </row>
    <row r="345" customFormat="false" ht="15" hidden="false" customHeight="false" outlineLevel="0" collapsed="false">
      <c r="A345" s="13" t="s">
        <v>231</v>
      </c>
      <c r="B345" s="13" t="s">
        <v>75</v>
      </c>
      <c r="C345" s="13" t="s">
        <v>76</v>
      </c>
      <c r="D345" s="15" t="n">
        <v>0.22822</v>
      </c>
      <c r="E345" s="13" t="n">
        <v>0.99771</v>
      </c>
      <c r="F345" s="16" t="n">
        <f aca="false">IF(H345=1,"",D345/E345)</f>
        <v>0.228743823355484</v>
      </c>
      <c r="G345" s="17" t="n">
        <f aca="false">IF(H345=1,"",D345/E345*Notas!$B$3)</f>
        <v>21.730663218771</v>
      </c>
      <c r="H345" s="13" t="n">
        <v>0</v>
      </c>
      <c r="I345" s="17" t="n">
        <f aca="false">IF(H345=1,D345,G345)</f>
        <v>21.730663218771</v>
      </c>
    </row>
    <row r="346" customFormat="false" ht="15" hidden="false" customHeight="false" outlineLevel="0" collapsed="false">
      <c r="A346" s="13" t="s">
        <v>231</v>
      </c>
      <c r="B346" s="13" t="s">
        <v>75</v>
      </c>
      <c r="C346" s="13" t="s">
        <v>77</v>
      </c>
      <c r="D346" s="15" t="n">
        <v>0.22822</v>
      </c>
      <c r="E346" s="13" t="n">
        <v>0.99771</v>
      </c>
      <c r="F346" s="16" t="n">
        <f aca="false">IF(H346=1,"",D346/E346)</f>
        <v>0.228743823355484</v>
      </c>
      <c r="G346" s="17" t="n">
        <f aca="false">IF(H346=1,"",D346/E346*Notas!$B$3)</f>
        <v>21.730663218771</v>
      </c>
      <c r="H346" s="13" t="n">
        <v>0</v>
      </c>
      <c r="I346" s="17" t="n">
        <f aca="false">IF(H346=1,D346,G346)</f>
        <v>21.730663218771</v>
      </c>
    </row>
    <row r="347" customFormat="false" ht="15" hidden="false" customHeight="false" outlineLevel="0" collapsed="false">
      <c r="A347" s="13" t="s">
        <v>231</v>
      </c>
      <c r="B347" s="13" t="s">
        <v>75</v>
      </c>
      <c r="C347" s="13" t="s">
        <v>78</v>
      </c>
      <c r="D347" s="15" t="n">
        <v>0.30057</v>
      </c>
      <c r="E347" s="13" t="n">
        <v>0.99771</v>
      </c>
      <c r="F347" s="16" t="n">
        <f aca="false">IF(H347=1,"",D347/E347)</f>
        <v>0.301259885136964</v>
      </c>
      <c r="G347" s="17" t="n">
        <f aca="false">IF(H347=1,"",D347/E347*Notas!$B$3)</f>
        <v>28.6196890880115</v>
      </c>
      <c r="H347" s="13" t="n">
        <v>0</v>
      </c>
      <c r="I347" s="17" t="n">
        <f aca="false">IF(H347=1,D347,G347)</f>
        <v>28.6196890880115</v>
      </c>
    </row>
    <row r="348" customFormat="false" ht="15" hidden="false" customHeight="false" outlineLevel="0" collapsed="false">
      <c r="A348" s="13" t="s">
        <v>231</v>
      </c>
      <c r="B348" s="13" t="s">
        <v>35</v>
      </c>
      <c r="C348" s="13" t="s">
        <v>79</v>
      </c>
      <c r="D348" s="15" t="n">
        <v>22.87418</v>
      </c>
      <c r="E348" s="13" t="n">
        <v>0.99771</v>
      </c>
      <c r="F348" s="16" t="str">
        <f aca="false">IF(H348=1,"",D348/E348)</f>
        <v/>
      </c>
      <c r="G348" s="17" t="str">
        <f aca="false">IF(H348=1,"",D348/E348*Notas!$B$3)</f>
        <v/>
      </c>
      <c r="H348" s="13" t="n">
        <v>1</v>
      </c>
      <c r="I348" s="17" t="n">
        <f aca="false">IF(H348=1,D348,G348)</f>
        <v>22.87418</v>
      </c>
    </row>
    <row r="349" customFormat="false" ht="15" hidden="false" customHeight="false" outlineLevel="0" collapsed="false">
      <c r="A349" s="13" t="s">
        <v>231</v>
      </c>
      <c r="B349" s="13" t="s">
        <v>35</v>
      </c>
      <c r="C349" s="13" t="s">
        <v>80</v>
      </c>
      <c r="D349" s="15" t="n">
        <v>30.12582</v>
      </c>
      <c r="E349" s="13" t="n">
        <v>0.99771</v>
      </c>
      <c r="F349" s="16" t="str">
        <f aca="false">IF(H349=1,"",D349/E349)</f>
        <v/>
      </c>
      <c r="G349" s="17" t="str">
        <f aca="false">IF(H349=1,"",D349/E349*Notas!$B$3)</f>
        <v/>
      </c>
      <c r="H349" s="13" t="n">
        <v>1</v>
      </c>
      <c r="I349" s="17" t="n">
        <f aca="false">IF(H349=1,D349,G349)</f>
        <v>30.12582</v>
      </c>
    </row>
    <row r="350" customFormat="false" ht="15" hidden="false" customHeight="false" outlineLevel="0" collapsed="false">
      <c r="A350" s="13" t="s">
        <v>231</v>
      </c>
      <c r="B350" s="13" t="s">
        <v>75</v>
      </c>
      <c r="C350" s="13" t="s">
        <v>81</v>
      </c>
      <c r="D350" s="15" t="n">
        <v>0.10234</v>
      </c>
      <c r="E350" s="13" t="n">
        <v>0.99771</v>
      </c>
      <c r="F350" s="16" t="n">
        <f aca="false">IF(H350=1,"",D350/E350)</f>
        <v>0.102574896513015</v>
      </c>
      <c r="G350" s="17" t="n">
        <f aca="false">IF(H350=1,"",D350/E350*Notas!$B$3)</f>
        <v>9.74461516873641</v>
      </c>
      <c r="H350" s="13" t="n">
        <v>0</v>
      </c>
      <c r="I350" s="17" t="n">
        <f aca="false">IF(H350=1,D350,G350)</f>
        <v>9.74461516873641</v>
      </c>
    </row>
    <row r="351" customFormat="false" ht="15" hidden="false" customHeight="false" outlineLevel="0" collapsed="false">
      <c r="A351" s="13" t="s">
        <v>231</v>
      </c>
      <c r="B351" s="13" t="s">
        <v>75</v>
      </c>
      <c r="C351" s="13" t="s">
        <v>82</v>
      </c>
      <c r="D351" s="15" t="n">
        <v>0.14026</v>
      </c>
      <c r="E351" s="13" t="n">
        <v>0.99771</v>
      </c>
      <c r="F351" s="16" t="n">
        <f aca="false">IF(H351=1,"",D351/E351)</f>
        <v>0.140581932625713</v>
      </c>
      <c r="G351" s="17" t="n">
        <f aca="false">IF(H351=1,"",D351/E351*Notas!$B$3)</f>
        <v>13.3552835994427</v>
      </c>
      <c r="H351" s="13" t="n">
        <v>0</v>
      </c>
      <c r="I351" s="17" t="n">
        <f aca="false">IF(H351=1,D351,G351)</f>
        <v>13.3552835994427</v>
      </c>
    </row>
    <row r="352" customFormat="false" ht="15" hidden="false" customHeight="false" outlineLevel="0" collapsed="false">
      <c r="A352" s="13" t="s">
        <v>231</v>
      </c>
      <c r="B352" s="13" t="s">
        <v>75</v>
      </c>
      <c r="C352" s="13" t="s">
        <v>83</v>
      </c>
      <c r="D352" s="15" t="n">
        <v>0.42099</v>
      </c>
      <c r="E352" s="13" t="n">
        <v>0.99771</v>
      </c>
      <c r="F352" s="16" t="n">
        <f aca="false">IF(H352=1,"",D352/E352)</f>
        <v>0.421956279880927</v>
      </c>
      <c r="G352" s="17" t="n">
        <f aca="false">IF(H352=1,"",D352/E352*Notas!$B$3)</f>
        <v>40.0858465886881</v>
      </c>
      <c r="H352" s="13" t="n">
        <v>0</v>
      </c>
      <c r="I352" s="17" t="n">
        <f aca="false">IF(H352=1,D352,G352)</f>
        <v>40.0858465886881</v>
      </c>
    </row>
    <row r="353" customFormat="false" ht="15" hidden="false" customHeight="false" outlineLevel="0" collapsed="false">
      <c r="A353" s="13" t="s">
        <v>231</v>
      </c>
      <c r="B353" s="13" t="s">
        <v>75</v>
      </c>
      <c r="C353" s="13" t="s">
        <v>84</v>
      </c>
      <c r="D353" s="15" t="n">
        <v>0.09853</v>
      </c>
      <c r="E353" s="13" t="n">
        <v>0.99771</v>
      </c>
      <c r="F353" s="16" t="n">
        <f aca="false">IF(H353=1,"",D353/E353)</f>
        <v>0.0987561515871346</v>
      </c>
      <c r="G353" s="17" t="n">
        <f aca="false">IF(H353=1,"",D353/E353*Notas!$B$3)</f>
        <v>9.38183440077778</v>
      </c>
      <c r="H353" s="13" t="n">
        <v>0</v>
      </c>
      <c r="I353" s="17" t="n">
        <f aca="false">IF(H353=1,D353,G353)</f>
        <v>9.38183440077778</v>
      </c>
    </row>
    <row r="354" customFormat="false" ht="15" hidden="false" customHeight="false" outlineLevel="0" collapsed="false">
      <c r="A354" s="13" t="s">
        <v>231</v>
      </c>
      <c r="B354" s="13" t="s">
        <v>75</v>
      </c>
      <c r="C354" s="13" t="s">
        <v>85</v>
      </c>
      <c r="D354" s="15" t="n">
        <v>0.14046</v>
      </c>
      <c r="E354" s="13" t="n">
        <v>0.99771</v>
      </c>
      <c r="F354" s="16" t="n">
        <f aca="false">IF(H354=1,"",D354/E354)</f>
        <v>0.14078239167694</v>
      </c>
      <c r="G354" s="17" t="n">
        <f aca="false">IF(H354=1,"",D354/E354*Notas!$B$3)</f>
        <v>13.3743272093093</v>
      </c>
      <c r="H354" s="13" t="n">
        <v>0</v>
      </c>
      <c r="I354" s="17" t="n">
        <f aca="false">IF(H354=1,D354,G354)</f>
        <v>13.3743272093093</v>
      </c>
    </row>
    <row r="355" customFormat="false" ht="15" hidden="false" customHeight="false" outlineLevel="0" collapsed="false">
      <c r="A355" s="13" t="s">
        <v>231</v>
      </c>
      <c r="B355" s="13" t="s">
        <v>75</v>
      </c>
      <c r="C355" s="13" t="s">
        <v>86</v>
      </c>
      <c r="D355" s="15" t="n">
        <v>0.41849</v>
      </c>
      <c r="E355" s="13" t="n">
        <v>0.99771</v>
      </c>
      <c r="F355" s="16" t="n">
        <f aca="false">IF(H355=1,"",D355/E355)</f>
        <v>0.419450541740586</v>
      </c>
      <c r="G355" s="17" t="n">
        <f aca="false">IF(H355=1,"",D355/E355*Notas!$B$3)</f>
        <v>39.8478014653557</v>
      </c>
      <c r="H355" s="13" t="n">
        <v>0</v>
      </c>
      <c r="I355" s="17" t="n">
        <f aca="false">IF(H355=1,D355,G355)</f>
        <v>39.8478014653557</v>
      </c>
    </row>
    <row r="356" customFormat="false" ht="15" hidden="false" customHeight="false" outlineLevel="0" collapsed="false">
      <c r="A356" s="13" t="s">
        <v>231</v>
      </c>
      <c r="B356" s="13" t="s">
        <v>75</v>
      </c>
      <c r="C356" s="13" t="s">
        <v>87</v>
      </c>
      <c r="D356" s="15" t="n">
        <v>0.02031</v>
      </c>
      <c r="E356" s="13" t="n">
        <v>0.99771</v>
      </c>
      <c r="F356" s="16" t="n">
        <f aca="false">IF(H356=1,"",D356/E356)</f>
        <v>0.0203566166521334</v>
      </c>
      <c r="G356" s="17" t="n">
        <f aca="false">IF(H356=1,"",D356/E356*Notas!$B$3)</f>
        <v>1.93387858195267</v>
      </c>
      <c r="H356" s="13" t="n">
        <v>0</v>
      </c>
      <c r="I356" s="17" t="n">
        <f aca="false">IF(H356=1,D356,G356)</f>
        <v>1.93387858195267</v>
      </c>
    </row>
    <row r="357" customFormat="false" ht="15" hidden="false" customHeight="false" outlineLevel="0" collapsed="false">
      <c r="A357" s="13" t="s">
        <v>231</v>
      </c>
      <c r="B357" s="13" t="s">
        <v>75</v>
      </c>
      <c r="C357" s="13" t="s">
        <v>88</v>
      </c>
      <c r="D357" s="15" t="n">
        <v>0.10021</v>
      </c>
      <c r="E357" s="13" t="n">
        <v>0.99771</v>
      </c>
      <c r="F357" s="16" t="n">
        <f aca="false">IF(H357=1,"",D357/E357)</f>
        <v>0.100440007617444</v>
      </c>
      <c r="G357" s="17" t="n">
        <f aca="false">IF(H357=1,"",D357/E357*Notas!$B$3)</f>
        <v>9.54180072365717</v>
      </c>
      <c r="H357" s="13" t="n">
        <v>0</v>
      </c>
      <c r="I357" s="17" t="n">
        <f aca="false">IF(H357=1,D357,G357)</f>
        <v>9.54180072365717</v>
      </c>
    </row>
    <row r="358" customFormat="false" ht="15" hidden="false" customHeight="false" outlineLevel="0" collapsed="false">
      <c r="A358" s="13" t="s">
        <v>231</v>
      </c>
      <c r="B358" s="13" t="s">
        <v>75</v>
      </c>
      <c r="C358" s="13" t="s">
        <v>89</v>
      </c>
      <c r="D358" s="15" t="n">
        <v>0.13063</v>
      </c>
      <c r="E358" s="13" t="n">
        <v>0.99771</v>
      </c>
      <c r="F358" s="16" t="n">
        <f aca="false">IF(H358=1,"",D358/E358)</f>
        <v>0.130929829309118</v>
      </c>
      <c r="G358" s="17" t="n">
        <f aca="false">IF(H358=1,"",D358/E358*Notas!$B$3)</f>
        <v>12.4383337843662</v>
      </c>
      <c r="H358" s="13" t="n">
        <v>0</v>
      </c>
      <c r="I358" s="17" t="n">
        <f aca="false">IF(H358=1,D358,G358)</f>
        <v>12.4383337843662</v>
      </c>
    </row>
    <row r="359" customFormat="false" ht="15" hidden="false" customHeight="false" outlineLevel="0" collapsed="false">
      <c r="A359" s="13" t="s">
        <v>231</v>
      </c>
      <c r="B359" s="13" t="s">
        <v>75</v>
      </c>
      <c r="C359" s="13" t="s">
        <v>90</v>
      </c>
      <c r="D359" s="15" t="n">
        <v>0.40269</v>
      </c>
      <c r="E359" s="13" t="n">
        <v>0.99771</v>
      </c>
      <c r="F359" s="16" t="n">
        <f aca="false">IF(H359=1,"",D359/E359)</f>
        <v>0.403614276693628</v>
      </c>
      <c r="G359" s="17" t="n">
        <f aca="false">IF(H359=1,"",D359/E359*Notas!$B$3)</f>
        <v>38.3433562858947</v>
      </c>
      <c r="H359" s="13" t="n">
        <v>0</v>
      </c>
      <c r="I359" s="17" t="n">
        <f aca="false">IF(H359=1,D359,G359)</f>
        <v>38.3433562858947</v>
      </c>
    </row>
    <row r="360" customFormat="false" ht="15" hidden="false" customHeight="false" outlineLevel="0" collapsed="false">
      <c r="A360" s="13" t="s">
        <v>231</v>
      </c>
      <c r="B360" s="13" t="s">
        <v>75</v>
      </c>
      <c r="C360" s="13" t="s">
        <v>91</v>
      </c>
      <c r="D360" s="15" t="n">
        <v>0.09655</v>
      </c>
      <c r="E360" s="13" t="n">
        <v>0.99771</v>
      </c>
      <c r="F360" s="16" t="n">
        <f aca="false">IF(H360=1,"",D360/E360)</f>
        <v>0.0967716069799842</v>
      </c>
      <c r="G360" s="17" t="n">
        <f aca="false">IF(H360=1,"",D360/E360*Notas!$B$3)</f>
        <v>9.19330266309849</v>
      </c>
      <c r="H360" s="13" t="n">
        <v>0</v>
      </c>
      <c r="I360" s="17" t="n">
        <f aca="false">IF(H360=1,D360,G360)</f>
        <v>9.19330266309849</v>
      </c>
    </row>
    <row r="361" customFormat="false" ht="15" hidden="false" customHeight="false" outlineLevel="0" collapsed="false">
      <c r="A361" s="13" t="s">
        <v>231</v>
      </c>
      <c r="B361" s="13" t="s">
        <v>75</v>
      </c>
      <c r="C361" s="13" t="s">
        <v>92</v>
      </c>
      <c r="D361" s="15" t="n">
        <v>0.13109</v>
      </c>
      <c r="E361" s="13" t="n">
        <v>0.99771</v>
      </c>
      <c r="F361" s="16" t="n">
        <f aca="false">IF(H361=1,"",D361/E361)</f>
        <v>0.131390885126941</v>
      </c>
      <c r="G361" s="17" t="n">
        <f aca="false">IF(H361=1,"",D361/E361*Notas!$B$3)</f>
        <v>12.4821340870594</v>
      </c>
      <c r="H361" s="13" t="n">
        <v>0</v>
      </c>
      <c r="I361" s="17" t="n">
        <f aca="false">IF(H361=1,D361,G361)</f>
        <v>12.4821340870594</v>
      </c>
    </row>
    <row r="362" customFormat="false" ht="15" hidden="false" customHeight="false" outlineLevel="0" collapsed="false">
      <c r="A362" s="13" t="s">
        <v>231</v>
      </c>
      <c r="B362" s="13" t="s">
        <v>75</v>
      </c>
      <c r="C362" s="13" t="s">
        <v>93</v>
      </c>
      <c r="D362" s="15" t="n">
        <v>0.40134</v>
      </c>
      <c r="E362" s="13" t="n">
        <v>0.99771</v>
      </c>
      <c r="F362" s="16" t="n">
        <f aca="false">IF(H362=1,"",D362/E362)</f>
        <v>0.402261178097844</v>
      </c>
      <c r="G362" s="17" t="n">
        <f aca="false">IF(H362=1,"",D362/E362*Notas!$B$3)</f>
        <v>38.2148119192952</v>
      </c>
      <c r="H362" s="13" t="n">
        <v>0</v>
      </c>
      <c r="I362" s="17" t="n">
        <f aca="false">IF(H362=1,D362,G362)</f>
        <v>38.2148119192952</v>
      </c>
    </row>
    <row r="363" customFormat="false" ht="15" hidden="false" customHeight="false" outlineLevel="0" collapsed="false">
      <c r="A363" s="13" t="s">
        <v>231</v>
      </c>
      <c r="B363" s="13" t="s">
        <v>75</v>
      </c>
      <c r="C363" s="13" t="s">
        <v>94</v>
      </c>
      <c r="D363" s="15" t="n">
        <v>0.02216</v>
      </c>
      <c r="E363" s="13" t="n">
        <v>0.99771</v>
      </c>
      <c r="F363" s="16" t="n">
        <f aca="false">IF(H363=1,"",D363/E363)</f>
        <v>0.022210862875986</v>
      </c>
      <c r="G363" s="17" t="n">
        <f aca="false">IF(H363=1,"",D363/E363*Notas!$B$3)</f>
        <v>2.11003197321867</v>
      </c>
      <c r="H363" s="13" t="n">
        <v>0</v>
      </c>
      <c r="I363" s="17" t="n">
        <f aca="false">IF(H363=1,D363,G363)</f>
        <v>2.11003197321867</v>
      </c>
    </row>
    <row r="364" customFormat="false" ht="15" hidden="false" customHeight="false" outlineLevel="0" collapsed="false">
      <c r="A364" s="13" t="s">
        <v>231</v>
      </c>
      <c r="B364" s="13" t="s">
        <v>75</v>
      </c>
      <c r="C364" s="13" t="s">
        <v>95</v>
      </c>
      <c r="D364" s="15" t="n">
        <v>0.22821</v>
      </c>
      <c r="E364" s="13" t="n">
        <v>0.99771</v>
      </c>
      <c r="F364" s="16" t="n">
        <f aca="false">IF(H364=1,"",D364/E364)</f>
        <v>0.228733800402923</v>
      </c>
      <c r="G364" s="17" t="n">
        <f aca="false">IF(H364=1,"",D364/E364*Notas!$B$3)</f>
        <v>21.7297110382777</v>
      </c>
      <c r="H364" s="13" t="n">
        <v>0</v>
      </c>
      <c r="I364" s="17" t="n">
        <f aca="false">IF(H364=1,D364,G364)</f>
        <v>21.7297110382777</v>
      </c>
    </row>
    <row r="365" customFormat="false" ht="15" hidden="false" customHeight="false" outlineLevel="0" collapsed="false">
      <c r="A365" s="13" t="s">
        <v>231</v>
      </c>
      <c r="B365" s="13" t="s">
        <v>75</v>
      </c>
      <c r="C365" s="13" t="s">
        <v>96</v>
      </c>
      <c r="D365" s="15" t="n">
        <v>0.13128</v>
      </c>
      <c r="E365" s="13" t="n">
        <v>0.99771</v>
      </c>
      <c r="F365" s="16" t="n">
        <f aca="false">IF(H365=1,"",D365/E365)</f>
        <v>0.131581321225607</v>
      </c>
      <c r="G365" s="17" t="n">
        <f aca="false">IF(H365=1,"",D365/E365*Notas!$B$3)</f>
        <v>12.5002255164326</v>
      </c>
      <c r="H365" s="13" t="n">
        <v>0</v>
      </c>
      <c r="I365" s="17" t="n">
        <f aca="false">IF(H365=1,D365,G365)</f>
        <v>12.5002255164326</v>
      </c>
    </row>
    <row r="366" customFormat="false" ht="15" hidden="false" customHeight="false" outlineLevel="0" collapsed="false">
      <c r="A366" s="13" t="s">
        <v>231</v>
      </c>
      <c r="B366" s="13" t="s">
        <v>75</v>
      </c>
      <c r="C366" s="13" t="s">
        <v>97</v>
      </c>
      <c r="D366" s="15" t="n">
        <v>0.90348</v>
      </c>
      <c r="E366" s="13" t="n">
        <v>0.99771</v>
      </c>
      <c r="F366" s="16" t="n">
        <f aca="false">IF(H366=1,"",D366/E366)</f>
        <v>0.905553718014253</v>
      </c>
      <c r="G366" s="17" t="n">
        <f aca="false">IF(H366=1,"",D366/E366*Notas!$B$3)</f>
        <v>86.027603211354</v>
      </c>
      <c r="H366" s="13" t="n">
        <v>0</v>
      </c>
      <c r="I366" s="17" t="n">
        <f aca="false">IF(H366=1,D366,G366)</f>
        <v>86.027603211354</v>
      </c>
    </row>
    <row r="367" customFormat="false" ht="15" hidden="false" customHeight="false" outlineLevel="0" collapsed="false">
      <c r="A367" s="13" t="s">
        <v>231</v>
      </c>
      <c r="B367" s="13" t="s">
        <v>102</v>
      </c>
      <c r="C367" s="13" t="s">
        <v>103</v>
      </c>
      <c r="D367" s="15" t="n">
        <v>0.21012</v>
      </c>
      <c r="E367" s="13" t="n">
        <v>0.99771</v>
      </c>
      <c r="F367" s="16" t="n">
        <f aca="false">IF(H367=1,"",D367/E367)</f>
        <v>0.210602279219412</v>
      </c>
      <c r="G367" s="17" t="n">
        <f aca="false">IF(H367=1,"",D367/E367*Notas!$B$3)</f>
        <v>20.0072165258442</v>
      </c>
      <c r="H367" s="13" t="n">
        <v>0</v>
      </c>
      <c r="I367" s="17" t="n">
        <f aca="false">IF(H367=1,D367,G367)</f>
        <v>20.0072165258442</v>
      </c>
    </row>
    <row r="368" customFormat="false" ht="15" hidden="false" customHeight="false" outlineLevel="0" collapsed="false">
      <c r="A368" s="13" t="s">
        <v>231</v>
      </c>
      <c r="B368" s="13" t="s">
        <v>102</v>
      </c>
      <c r="C368" s="13" t="s">
        <v>104</v>
      </c>
      <c r="D368" s="15" t="n">
        <v>0.12881</v>
      </c>
      <c r="E368" s="13" t="n">
        <v>0.99771</v>
      </c>
      <c r="F368" s="16" t="n">
        <f aca="false">IF(H368=1,"",D368/E368)</f>
        <v>0.129105651942949</v>
      </c>
      <c r="G368" s="17" t="n">
        <f aca="false">IF(H368=1,"",D368/E368*Notas!$B$3)</f>
        <v>12.2650369345802</v>
      </c>
      <c r="H368" s="13" t="n">
        <v>0</v>
      </c>
      <c r="I368" s="17" t="n">
        <f aca="false">IF(H368=1,D368,G368)</f>
        <v>12.2650369345802</v>
      </c>
    </row>
    <row r="369" customFormat="false" ht="15" hidden="false" customHeight="false" outlineLevel="0" collapsed="false">
      <c r="A369" s="13" t="s">
        <v>231</v>
      </c>
      <c r="B369" s="13" t="s">
        <v>102</v>
      </c>
      <c r="C369" s="13" t="s">
        <v>105</v>
      </c>
      <c r="D369" s="15" t="n">
        <v>0.10096</v>
      </c>
      <c r="E369" s="13" t="n">
        <v>0.99771</v>
      </c>
      <c r="F369" s="16" t="n">
        <f aca="false">IF(H369=1,"",D369/E369)</f>
        <v>0.101191729059546</v>
      </c>
      <c r="G369" s="17" t="n">
        <f aca="false">IF(H369=1,"",D369/E369*Notas!$B$3)</f>
        <v>9.61321426065691</v>
      </c>
      <c r="H369" s="13" t="n">
        <v>0</v>
      </c>
      <c r="I369" s="17" t="n">
        <f aca="false">IF(H369=1,D369,G369)</f>
        <v>9.61321426065691</v>
      </c>
    </row>
    <row r="370" customFormat="false" ht="15" hidden="false" customHeight="false" outlineLevel="0" collapsed="false">
      <c r="A370" s="13" t="s">
        <v>231</v>
      </c>
      <c r="B370" s="13" t="s">
        <v>102</v>
      </c>
      <c r="C370" s="13" t="s">
        <v>106</v>
      </c>
      <c r="D370" s="15" t="n">
        <v>-0.05343</v>
      </c>
      <c r="E370" s="13" t="n">
        <v>0.99771</v>
      </c>
      <c r="F370" s="16" t="n">
        <f aca="false">IF(H370=1,"",D370/E370)</f>
        <v>-0.053552635535376</v>
      </c>
      <c r="G370" s="17" t="n">
        <f aca="false">IF(H370=1,"",D370/E370*Notas!$B$3)</f>
        <v>-5.08750037586072</v>
      </c>
      <c r="H370" s="13" t="n">
        <v>0</v>
      </c>
      <c r="I370" s="17" t="n">
        <f aca="false">IF(H370=1,D370,G370)</f>
        <v>-5.08750037586072</v>
      </c>
    </row>
    <row r="371" customFormat="false" ht="15" hidden="false" customHeight="false" outlineLevel="0" collapsed="false">
      <c r="A371" s="13" t="s">
        <v>231</v>
      </c>
      <c r="B371" s="13" t="s">
        <v>102</v>
      </c>
      <c r="C371" s="13" t="s">
        <v>107</v>
      </c>
      <c r="D371" s="15" t="n">
        <v>0.21005</v>
      </c>
      <c r="E371" s="13" t="n">
        <v>0.99771</v>
      </c>
      <c r="F371" s="16" t="n">
        <f aca="false">IF(H371=1,"",D371/E371)</f>
        <v>0.210532118551483</v>
      </c>
      <c r="G371" s="17" t="n">
        <f aca="false">IF(H371=1,"",D371/E371*Notas!$B$3)</f>
        <v>20.0005512623909</v>
      </c>
      <c r="H371" s="13" t="n">
        <v>0</v>
      </c>
      <c r="I371" s="17" t="n">
        <f aca="false">IF(H371=1,D371,G371)</f>
        <v>20.0005512623909</v>
      </c>
    </row>
    <row r="372" customFormat="false" ht="15" hidden="false" customHeight="false" outlineLevel="0" collapsed="false">
      <c r="A372" s="13" t="s">
        <v>231</v>
      </c>
      <c r="B372" s="13" t="s">
        <v>102</v>
      </c>
      <c r="C372" s="13" t="s">
        <v>108</v>
      </c>
      <c r="D372" s="15" t="n">
        <v>0.12825</v>
      </c>
      <c r="E372" s="13" t="n">
        <v>0.99771</v>
      </c>
      <c r="F372" s="16" t="n">
        <f aca="false">IF(H372=1,"",D372/E372)</f>
        <v>0.128544366599513</v>
      </c>
      <c r="G372" s="17" t="n">
        <f aca="false">IF(H372=1,"",D372/E372*Notas!$B$3)</f>
        <v>12.2117148269537</v>
      </c>
      <c r="H372" s="13" t="n">
        <v>0</v>
      </c>
      <c r="I372" s="17" t="n">
        <f aca="false">IF(H372=1,D372,G372)</f>
        <v>12.2117148269537</v>
      </c>
    </row>
    <row r="373" customFormat="false" ht="15" hidden="false" customHeight="false" outlineLevel="0" collapsed="false">
      <c r="A373" s="13" t="s">
        <v>231</v>
      </c>
      <c r="B373" s="13" t="s">
        <v>102</v>
      </c>
      <c r="C373" s="13" t="s">
        <v>109</v>
      </c>
      <c r="D373" s="15" t="n">
        <v>0.10005</v>
      </c>
      <c r="E373" s="13" t="n">
        <v>0.99771</v>
      </c>
      <c r="F373" s="16" t="n">
        <f aca="false">IF(H373=1,"",D373/E373)</f>
        <v>0.100279640376462</v>
      </c>
      <c r="G373" s="17" t="n">
        <f aca="false">IF(H373=1,"",D373/E373*Notas!$B$3)</f>
        <v>9.5265658357639</v>
      </c>
      <c r="H373" s="13" t="n">
        <v>0</v>
      </c>
      <c r="I373" s="17" t="n">
        <f aca="false">IF(H373=1,D373,G373)</f>
        <v>9.5265658357639</v>
      </c>
    </row>
    <row r="374" customFormat="false" ht="15" hidden="false" customHeight="false" outlineLevel="0" collapsed="false">
      <c r="A374" s="13" t="s">
        <v>231</v>
      </c>
      <c r="B374" s="13" t="s">
        <v>102</v>
      </c>
      <c r="C374" s="13" t="s">
        <v>110</v>
      </c>
      <c r="D374" s="15" t="n">
        <v>0.05092</v>
      </c>
      <c r="E374" s="13" t="n">
        <v>0.99771</v>
      </c>
      <c r="F374" s="16" t="n">
        <f aca="false">IF(H374=1,"",D374/E374)</f>
        <v>0.0510368744424733</v>
      </c>
      <c r="G374" s="17" t="n">
        <f aca="false">IF(H374=1,"",D374/E374*Notas!$B$3)</f>
        <v>4.84850307203496</v>
      </c>
      <c r="H374" s="13" t="n">
        <v>0</v>
      </c>
      <c r="I374" s="17" t="n">
        <f aca="false">IF(H374=1,D374,G374)</f>
        <v>4.84850307203496</v>
      </c>
    </row>
    <row r="375" customFormat="false" ht="15" hidden="false" customHeight="false" outlineLevel="0" collapsed="false">
      <c r="A375" s="13" t="s">
        <v>231</v>
      </c>
      <c r="B375" s="13" t="s">
        <v>102</v>
      </c>
      <c r="C375" s="13" t="s">
        <v>111</v>
      </c>
      <c r="D375" s="15" t="n">
        <v>0.23289</v>
      </c>
      <c r="E375" s="13" t="n">
        <v>0.99771</v>
      </c>
      <c r="F375" s="16" t="n">
        <f aca="false">IF(H375=1,"",D375/E375)</f>
        <v>0.233424542201642</v>
      </c>
      <c r="G375" s="17" t="n">
        <f aca="false">IF(H375=1,"",D375/E375*Notas!$B$3)</f>
        <v>22.175331509156</v>
      </c>
      <c r="H375" s="13" t="n">
        <v>0</v>
      </c>
      <c r="I375" s="17" t="n">
        <f aca="false">IF(H375=1,D375,G375)</f>
        <v>22.175331509156</v>
      </c>
    </row>
    <row r="376" customFormat="false" ht="15" hidden="false" customHeight="false" outlineLevel="0" collapsed="false">
      <c r="A376" s="13" t="s">
        <v>231</v>
      </c>
      <c r="B376" s="13" t="s">
        <v>102</v>
      </c>
      <c r="C376" s="13" t="s">
        <v>112</v>
      </c>
      <c r="D376" s="15" t="n">
        <v>0.10097</v>
      </c>
      <c r="E376" s="13" t="n">
        <v>0.99771</v>
      </c>
      <c r="F376" s="16" t="n">
        <f aca="false">IF(H376=1,"",D376/E376)</f>
        <v>0.101201752012108</v>
      </c>
      <c r="G376" s="17" t="n">
        <f aca="false">IF(H376=1,"",D376/E376*Notas!$B$3)</f>
        <v>9.61416644115024</v>
      </c>
      <c r="H376" s="13" t="n">
        <v>0</v>
      </c>
      <c r="I376" s="17" t="n">
        <f aca="false">IF(H376=1,D376,G376)</f>
        <v>9.61416644115024</v>
      </c>
    </row>
    <row r="377" customFormat="false" ht="15" hidden="false" customHeight="false" outlineLevel="0" collapsed="false">
      <c r="A377" s="13" t="s">
        <v>231</v>
      </c>
      <c r="B377" s="13" t="s">
        <v>17</v>
      </c>
      <c r="C377" s="13" t="s">
        <v>113</v>
      </c>
      <c r="D377" s="15" t="n">
        <v>1</v>
      </c>
      <c r="E377" s="13" t="n">
        <v>0.99771</v>
      </c>
      <c r="F377" s="16" t="str">
        <f aca="false">IF(H377=1,"",D377/E377)</f>
        <v/>
      </c>
      <c r="G377" s="17" t="str">
        <f aca="false">IF(H377=1,"",D377/E377*Notas!$B$3)</f>
        <v/>
      </c>
      <c r="H377" s="13" t="n">
        <v>1</v>
      </c>
      <c r="I377" s="17" t="n">
        <f aca="false">IF(H377=1,D377,G377)</f>
        <v>1</v>
      </c>
    </row>
    <row r="378" customFormat="false" ht="15" hidden="false" customHeight="false" outlineLevel="0" collapsed="false">
      <c r="A378" s="13" t="s">
        <v>231</v>
      </c>
      <c r="B378" s="13" t="s">
        <v>114</v>
      </c>
      <c r="C378" s="13" t="s">
        <v>115</v>
      </c>
      <c r="D378" s="15" t="n">
        <v>0.46867</v>
      </c>
      <c r="E378" s="13" t="n">
        <v>0.99771</v>
      </c>
      <c r="F378" s="16" t="n">
        <f aca="false">IF(H378=1,"",D378/E378)</f>
        <v>0.469745717693518</v>
      </c>
      <c r="G378" s="17" t="n">
        <f aca="false">IF(H378=1,"",D378/E378*Notas!$B$3)</f>
        <v>44.6258431808842</v>
      </c>
      <c r="H378" s="13" t="n">
        <v>0</v>
      </c>
      <c r="I378" s="17" t="n">
        <f aca="false">IF(H378=1,D378,G378)</f>
        <v>44.6258431808842</v>
      </c>
    </row>
    <row r="379" customFormat="false" ht="15" hidden="false" customHeight="false" outlineLevel="0" collapsed="false">
      <c r="A379" s="13" t="s">
        <v>231</v>
      </c>
      <c r="B379" s="13" t="s">
        <v>114</v>
      </c>
      <c r="C379" s="13" t="s">
        <v>116</v>
      </c>
      <c r="D379" s="15" t="n">
        <v>0.82887</v>
      </c>
      <c r="E379" s="13" t="n">
        <v>0.99771</v>
      </c>
      <c r="F379" s="16" t="n">
        <f aca="false">IF(H379=1,"",D379/E379)</f>
        <v>0.830772468953904</v>
      </c>
      <c r="G379" s="17" t="n">
        <f aca="false">IF(H379=1,"",D379/E379*Notas!$B$3)</f>
        <v>78.9233845506209</v>
      </c>
      <c r="H379" s="13" t="n">
        <v>0</v>
      </c>
      <c r="I379" s="17" t="n">
        <f aca="false">IF(H379=1,D379,G379)</f>
        <v>78.9233845506209</v>
      </c>
    </row>
    <row r="380" customFormat="false" ht="15" hidden="false" customHeight="false" outlineLevel="0" collapsed="false">
      <c r="A380" s="13" t="s">
        <v>231</v>
      </c>
      <c r="B380" s="13" t="s">
        <v>114</v>
      </c>
      <c r="C380" s="13" t="s">
        <v>117</v>
      </c>
      <c r="D380" s="15" t="n">
        <v>0.17663</v>
      </c>
      <c r="E380" s="13" t="n">
        <v>0.99771</v>
      </c>
      <c r="F380" s="16" t="n">
        <f aca="false">IF(H380=1,"",D380/E380)</f>
        <v>0.177035411091399</v>
      </c>
      <c r="G380" s="17" t="n">
        <f aca="false">IF(H380=1,"",D380/E380*Notas!$B$3)</f>
        <v>16.8183640536829</v>
      </c>
      <c r="H380" s="13" t="n">
        <v>0</v>
      </c>
      <c r="I380" s="17" t="n">
        <f aca="false">IF(H380=1,D380,G380)</f>
        <v>16.8183640536829</v>
      </c>
    </row>
    <row r="381" customFormat="false" ht="15" hidden="false" customHeight="false" outlineLevel="0" collapsed="false">
      <c r="A381" s="13" t="s">
        <v>231</v>
      </c>
      <c r="B381" s="13" t="s">
        <v>114</v>
      </c>
      <c r="C381" s="13" t="s">
        <v>118</v>
      </c>
      <c r="D381" s="15" t="n">
        <v>2.18371</v>
      </c>
      <c r="E381" s="13" t="n">
        <v>0.99771</v>
      </c>
      <c r="F381" s="16" t="n">
        <f aca="false">IF(H381=1,"",D381/E381)</f>
        <v>2.18872217377795</v>
      </c>
      <c r="G381" s="17" t="n">
        <f aca="false">IF(H381=1,"",D381/E381*Notas!$B$3)</f>
        <v>207.928606508905</v>
      </c>
      <c r="H381" s="13" t="n">
        <v>0</v>
      </c>
      <c r="I381" s="17" t="n">
        <f aca="false">IF(H381=1,D381,G381)</f>
        <v>207.928606508905</v>
      </c>
    </row>
    <row r="382" customFormat="false" ht="15" hidden="false" customHeight="false" outlineLevel="0" collapsed="false">
      <c r="A382" s="13" t="s">
        <v>231</v>
      </c>
      <c r="B382" s="13" t="s">
        <v>114</v>
      </c>
      <c r="C382" s="13" t="s">
        <v>119</v>
      </c>
      <c r="D382" s="15" t="n">
        <v>0.82887</v>
      </c>
      <c r="E382" s="13" t="n">
        <v>0.99771</v>
      </c>
      <c r="F382" s="16" t="n">
        <f aca="false">IF(H382=1,"",D382/E382)</f>
        <v>0.830772468953904</v>
      </c>
      <c r="G382" s="17" t="n">
        <f aca="false">IF(H382=1,"",D382/E382*Notas!$B$3)</f>
        <v>78.9233845506209</v>
      </c>
      <c r="H382" s="13" t="n">
        <v>0</v>
      </c>
      <c r="I382" s="17" t="n">
        <f aca="false">IF(H382=1,D382,G382)</f>
        <v>78.9233845506209</v>
      </c>
    </row>
    <row r="383" customFormat="false" ht="15" hidden="false" customHeight="false" outlineLevel="0" collapsed="false">
      <c r="A383" s="13" t="s">
        <v>231</v>
      </c>
      <c r="B383" s="13" t="s">
        <v>114</v>
      </c>
      <c r="C383" s="13" t="s">
        <v>120</v>
      </c>
      <c r="D383" s="15" t="n">
        <v>1</v>
      </c>
      <c r="E383" s="13" t="n">
        <v>0.99771</v>
      </c>
      <c r="F383" s="16" t="str">
        <f aca="false">IF(H383=1,"",D383/E383)</f>
        <v/>
      </c>
      <c r="G383" s="17" t="str">
        <f aca="false">IF(H383=1,"",D383/E383*Notas!$B$3)</f>
        <v/>
      </c>
      <c r="H383" s="13" t="n">
        <v>1</v>
      </c>
      <c r="I383" s="17" t="n">
        <f aca="false">IF(H383=1,D383,G383)</f>
        <v>1</v>
      </c>
    </row>
    <row r="384" customFormat="false" ht="15" hidden="false" customHeight="false" outlineLevel="0" collapsed="false">
      <c r="A384" s="13" t="s">
        <v>231</v>
      </c>
      <c r="B384" s="13" t="s">
        <v>114</v>
      </c>
      <c r="C384" s="13" t="s">
        <v>121</v>
      </c>
      <c r="D384" s="15" t="n">
        <v>0.27936</v>
      </c>
      <c r="E384" s="13" t="n">
        <v>0.99771</v>
      </c>
      <c r="F384" s="16" t="n">
        <f aca="false">IF(H384=1,"",D384/E384)</f>
        <v>0.280001202754307</v>
      </c>
      <c r="G384" s="17" t="n">
        <f aca="false">IF(H384=1,"",D384/E384*Notas!$B$3)</f>
        <v>26.6001142616592</v>
      </c>
      <c r="H384" s="13" t="n">
        <v>0</v>
      </c>
      <c r="I384" s="17" t="n">
        <f aca="false">IF(H384=1,D384,G384)</f>
        <v>26.6001142616592</v>
      </c>
    </row>
    <row r="385" customFormat="false" ht="15" hidden="false" customHeight="false" outlineLevel="0" collapsed="false">
      <c r="A385" s="13" t="s">
        <v>231</v>
      </c>
      <c r="B385" s="13" t="s">
        <v>114</v>
      </c>
      <c r="C385" s="13" t="s">
        <v>122</v>
      </c>
      <c r="D385" s="15" t="n">
        <v>0.22596</v>
      </c>
      <c r="E385" s="13" t="n">
        <v>0.99771</v>
      </c>
      <c r="F385" s="16" t="n">
        <f aca="false">IF(H385=1,"",D385/E385)</f>
        <v>0.226478636076615</v>
      </c>
      <c r="G385" s="17" t="n">
        <f aca="false">IF(H385=1,"",D385/E385*Notas!$B$3)</f>
        <v>21.5154704272785</v>
      </c>
      <c r="H385" s="13" t="n">
        <v>0</v>
      </c>
      <c r="I385" s="17" t="n">
        <f aca="false">IF(H385=1,D385,G385)</f>
        <v>21.5154704272785</v>
      </c>
    </row>
    <row r="386" customFormat="false" ht="15" hidden="false" customHeight="false" outlineLevel="0" collapsed="false">
      <c r="A386" s="13" t="s">
        <v>231</v>
      </c>
      <c r="B386" s="13" t="s">
        <v>114</v>
      </c>
      <c r="C386" s="13" t="s">
        <v>123</v>
      </c>
      <c r="D386" s="15" t="n">
        <v>0.16904</v>
      </c>
      <c r="E386" s="13" t="n">
        <v>0.99771</v>
      </c>
      <c r="F386" s="16" t="n">
        <f aca="false">IF(H386=1,"",D386/E386)</f>
        <v>0.169427990097323</v>
      </c>
      <c r="G386" s="17" t="n">
        <f aca="false">IF(H386=1,"",D386/E386*Notas!$B$3)</f>
        <v>16.0956590592457</v>
      </c>
      <c r="H386" s="13" t="n">
        <v>0</v>
      </c>
      <c r="I386" s="17" t="n">
        <f aca="false">IF(H386=1,D386,G386)</f>
        <v>16.0956590592457</v>
      </c>
    </row>
    <row r="387" customFormat="false" ht="15" hidden="false" customHeight="false" outlineLevel="0" collapsed="false">
      <c r="A387" s="13" t="s">
        <v>231</v>
      </c>
      <c r="B387" s="13" t="s">
        <v>114</v>
      </c>
      <c r="C387" s="13" t="s">
        <v>124</v>
      </c>
      <c r="D387" s="15" t="n">
        <v>0.73605</v>
      </c>
      <c r="E387" s="13" t="n">
        <v>0.99771</v>
      </c>
      <c r="F387" s="16" t="n">
        <f aca="false">IF(H387=1,"",D387/E387)</f>
        <v>0.73773942327931</v>
      </c>
      <c r="G387" s="17" t="n">
        <f aca="false">IF(H387=1,"",D387/E387*Notas!$B$3)</f>
        <v>70.0852452115344</v>
      </c>
      <c r="H387" s="13" t="n">
        <v>0</v>
      </c>
      <c r="I387" s="17" t="n">
        <f aca="false">IF(H387=1,D387,G387)</f>
        <v>70.0852452115344</v>
      </c>
    </row>
    <row r="388" customFormat="false" ht="15" hidden="false" customHeight="false" outlineLevel="0" collapsed="false">
      <c r="A388" s="13" t="s">
        <v>231</v>
      </c>
      <c r="B388" s="13" t="s">
        <v>114</v>
      </c>
      <c r="C388" s="13" t="s">
        <v>125</v>
      </c>
      <c r="D388" s="15" t="n">
        <v>0.22596</v>
      </c>
      <c r="E388" s="13" t="n">
        <v>0.99771</v>
      </c>
      <c r="F388" s="16" t="n">
        <f aca="false">IF(H388=1,"",D388/E388)</f>
        <v>0.226478636076615</v>
      </c>
      <c r="G388" s="17" t="n">
        <f aca="false">IF(H388=1,"",D388/E388*Notas!$B$3)</f>
        <v>21.5154704272785</v>
      </c>
      <c r="H388" s="13" t="n">
        <v>0</v>
      </c>
      <c r="I388" s="17" t="n">
        <f aca="false">IF(H388=1,D388,G388)</f>
        <v>21.5154704272785</v>
      </c>
    </row>
    <row r="389" customFormat="false" ht="15" hidden="false" customHeight="false" outlineLevel="0" collapsed="false">
      <c r="A389" s="13" t="s">
        <v>231</v>
      </c>
      <c r="B389" s="13" t="s">
        <v>114</v>
      </c>
      <c r="C389" s="13" t="s">
        <v>126</v>
      </c>
      <c r="D389" s="15" t="n">
        <v>2</v>
      </c>
      <c r="E389" s="13" t="n">
        <v>0.99771</v>
      </c>
      <c r="F389" s="16" t="str">
        <f aca="false">IF(H389=1,"",D389/E389)</f>
        <v/>
      </c>
      <c r="G389" s="17" t="str">
        <f aca="false">IF(H389=1,"",D389/E389*Notas!$B$3)</f>
        <v/>
      </c>
      <c r="H389" s="13" t="n">
        <v>1</v>
      </c>
      <c r="I389" s="17" t="n">
        <f aca="false">IF(H389=1,D389,G389)</f>
        <v>2</v>
      </c>
    </row>
    <row r="390" customFormat="false" ht="15" hidden="false" customHeight="false" outlineLevel="0" collapsed="false">
      <c r="A390" s="13" t="s">
        <v>231</v>
      </c>
      <c r="B390" s="13" t="s">
        <v>114</v>
      </c>
      <c r="C390" s="13" t="s">
        <v>127</v>
      </c>
      <c r="D390" s="15" t="n">
        <v>0.25379</v>
      </c>
      <c r="E390" s="13" t="n">
        <v>0.99771</v>
      </c>
      <c r="F390" s="16" t="n">
        <f aca="false">IF(H390=1,"",D390/E390)</f>
        <v>0.254372513054896</v>
      </c>
      <c r="G390" s="17" t="n">
        <f aca="false">IF(H390=1,"",D390/E390*Notas!$B$3)</f>
        <v>24.1653887402151</v>
      </c>
      <c r="H390" s="13" t="n">
        <v>0</v>
      </c>
      <c r="I390" s="17" t="n">
        <f aca="false">IF(H390=1,D390,G390)</f>
        <v>24.1653887402151</v>
      </c>
    </row>
    <row r="391" customFormat="false" ht="15" hidden="false" customHeight="false" outlineLevel="0" collapsed="false">
      <c r="A391" s="13" t="s">
        <v>231</v>
      </c>
      <c r="B391" s="13" t="s">
        <v>114</v>
      </c>
      <c r="C391" s="13" t="s">
        <v>128</v>
      </c>
      <c r="D391" s="15" t="n">
        <v>0.24219</v>
      </c>
      <c r="E391" s="13" t="n">
        <v>0.99771</v>
      </c>
      <c r="F391" s="16" t="n">
        <f aca="false">IF(H391=1,"",D391/E391)</f>
        <v>0.242745888083712</v>
      </c>
      <c r="G391" s="17" t="n">
        <f aca="false">IF(H391=1,"",D391/E391*Notas!$B$3)</f>
        <v>23.0608593679526</v>
      </c>
      <c r="H391" s="13" t="n">
        <v>0</v>
      </c>
      <c r="I391" s="17" t="n">
        <f aca="false">IF(H391=1,D391,G391)</f>
        <v>23.0608593679526</v>
      </c>
    </row>
    <row r="392" customFormat="false" ht="15" hidden="false" customHeight="false" outlineLevel="0" collapsed="false">
      <c r="A392" s="13" t="s">
        <v>231</v>
      </c>
      <c r="B392" s="13" t="s">
        <v>114</v>
      </c>
      <c r="C392" s="13" t="s">
        <v>129</v>
      </c>
      <c r="D392" s="15" t="n">
        <v>0.16418</v>
      </c>
      <c r="E392" s="13" t="n">
        <v>0.99771</v>
      </c>
      <c r="F392" s="16" t="n">
        <f aca="false">IF(H392=1,"",D392/E392)</f>
        <v>0.164556835152499</v>
      </c>
      <c r="G392" s="17" t="n">
        <f aca="false">IF(H392=1,"",D392/E392*Notas!$B$3)</f>
        <v>15.6328993394874</v>
      </c>
      <c r="H392" s="13" t="n">
        <v>0</v>
      </c>
      <c r="I392" s="17" t="n">
        <f aca="false">IF(H392=1,D392,G392)</f>
        <v>15.6328993394874</v>
      </c>
    </row>
    <row r="393" customFormat="false" ht="15" hidden="false" customHeight="false" outlineLevel="0" collapsed="false">
      <c r="A393" s="13" t="s">
        <v>231</v>
      </c>
      <c r="B393" s="13" t="s">
        <v>114</v>
      </c>
      <c r="C393" s="13" t="s">
        <v>130</v>
      </c>
      <c r="D393" s="15" t="n">
        <v>0.76813</v>
      </c>
      <c r="E393" s="13" t="n">
        <v>0.99771</v>
      </c>
      <c r="F393" s="16" t="n">
        <f aca="false">IF(H393=1,"",D393/E393)</f>
        <v>0.76989305509617</v>
      </c>
      <c r="G393" s="17" t="n">
        <f aca="false">IF(H393=1,"",D393/E393*Notas!$B$3)</f>
        <v>73.1398402341362</v>
      </c>
      <c r="H393" s="13" t="n">
        <v>0</v>
      </c>
      <c r="I393" s="17" t="n">
        <f aca="false">IF(H393=1,D393,G393)</f>
        <v>73.1398402341362</v>
      </c>
    </row>
    <row r="394" customFormat="false" ht="15" hidden="false" customHeight="false" outlineLevel="0" collapsed="false">
      <c r="A394" s="13" t="s">
        <v>231</v>
      </c>
      <c r="B394" s="13" t="s">
        <v>114</v>
      </c>
      <c r="C394" s="13" t="s">
        <v>131</v>
      </c>
      <c r="D394" s="15" t="n">
        <v>0.24219</v>
      </c>
      <c r="E394" s="13" t="n">
        <v>0.99771</v>
      </c>
      <c r="F394" s="16" t="n">
        <f aca="false">IF(H394=1,"",D394/E394)</f>
        <v>0.242745888083712</v>
      </c>
      <c r="G394" s="17" t="n">
        <f aca="false">IF(H394=1,"",D394/E394*Notas!$B$3)</f>
        <v>23.0608593679526</v>
      </c>
      <c r="H394" s="13" t="n">
        <v>0</v>
      </c>
      <c r="I394" s="17" t="n">
        <f aca="false">IF(H394=1,D394,G394)</f>
        <v>23.0608593679526</v>
      </c>
    </row>
    <row r="395" customFormat="false" ht="15" hidden="false" customHeight="false" outlineLevel="0" collapsed="false">
      <c r="A395" s="13" t="s">
        <v>231</v>
      </c>
      <c r="B395" s="13" t="s">
        <v>114</v>
      </c>
      <c r="C395" s="13" t="s">
        <v>132</v>
      </c>
      <c r="D395" s="15" t="n">
        <v>1</v>
      </c>
      <c r="E395" s="13" t="n">
        <v>0.99771</v>
      </c>
      <c r="F395" s="16" t="str">
        <f aca="false">IF(H395=1,"",D395/E395)</f>
        <v/>
      </c>
      <c r="G395" s="17" t="str">
        <f aca="false">IF(H395=1,"",D395/E395*Notas!$B$3)</f>
        <v/>
      </c>
      <c r="H395" s="13" t="n">
        <v>1</v>
      </c>
      <c r="I395" s="17" t="n">
        <f aca="false">IF(H395=1,D395,G395)</f>
        <v>1</v>
      </c>
    </row>
    <row r="396" customFormat="false" ht="15" hidden="false" customHeight="false" outlineLevel="0" collapsed="false">
      <c r="A396" s="13" t="s">
        <v>231</v>
      </c>
      <c r="B396" s="13" t="s">
        <v>114</v>
      </c>
      <c r="C396" s="13" t="s">
        <v>133</v>
      </c>
      <c r="D396" s="15" t="n">
        <v>0.51881</v>
      </c>
      <c r="E396" s="13" t="n">
        <v>0.99771</v>
      </c>
      <c r="F396" s="16" t="n">
        <f aca="false">IF(H396=1,"",D396/E396)</f>
        <v>0.520000801836205</v>
      </c>
      <c r="G396" s="17" t="n">
        <f aca="false">IF(H396=1,"",D396/E396*Notas!$B$3)</f>
        <v>49.4000761744395</v>
      </c>
      <c r="H396" s="13" t="n">
        <v>0</v>
      </c>
      <c r="I396" s="17" t="n">
        <f aca="false">IF(H396=1,D396,G396)</f>
        <v>49.4000761744395</v>
      </c>
    </row>
    <row r="397" customFormat="false" ht="15" hidden="false" customHeight="false" outlineLevel="0" collapsed="false">
      <c r="A397" s="13" t="s">
        <v>231</v>
      </c>
      <c r="B397" s="13" t="s">
        <v>114</v>
      </c>
      <c r="C397" s="13" t="s">
        <v>134</v>
      </c>
      <c r="D397" s="15" t="n">
        <v>0.55163</v>
      </c>
      <c r="E397" s="13" t="n">
        <v>0.99771</v>
      </c>
      <c r="F397" s="16" t="n">
        <f aca="false">IF(H397=1,"",D397/E397)</f>
        <v>0.552896132142607</v>
      </c>
      <c r="G397" s="17" t="n">
        <f aca="false">IF(H397=1,"",D397/E397*Notas!$B$3)</f>
        <v>52.5251325535476</v>
      </c>
      <c r="H397" s="13" t="n">
        <v>0</v>
      </c>
      <c r="I397" s="17" t="n">
        <f aca="false">IF(H397=1,D397,G397)</f>
        <v>52.5251325535476</v>
      </c>
    </row>
    <row r="398" customFormat="false" ht="15" hidden="false" customHeight="false" outlineLevel="0" collapsed="false">
      <c r="A398" s="13" t="s">
        <v>231</v>
      </c>
      <c r="B398" s="13" t="s">
        <v>114</v>
      </c>
      <c r="C398" s="13" t="s">
        <v>135</v>
      </c>
      <c r="D398" s="15" t="n">
        <v>0.11837</v>
      </c>
      <c r="E398" s="13" t="n">
        <v>0.99771</v>
      </c>
      <c r="F398" s="16" t="n">
        <f aca="false">IF(H398=1,"",D398/E398)</f>
        <v>0.118641689468884</v>
      </c>
      <c r="G398" s="17" t="n">
        <f aca="false">IF(H398=1,"",D398/E398*Notas!$B$3)</f>
        <v>11.270960499544</v>
      </c>
      <c r="H398" s="13" t="n">
        <v>0</v>
      </c>
      <c r="I398" s="17" t="n">
        <f aca="false">IF(H398=1,D398,G398)</f>
        <v>11.270960499544</v>
      </c>
    </row>
    <row r="399" customFormat="false" ht="15" hidden="false" customHeight="false" outlineLevel="0" collapsed="false">
      <c r="A399" s="13" t="s">
        <v>231</v>
      </c>
      <c r="B399" s="13" t="s">
        <v>114</v>
      </c>
      <c r="C399" s="13" t="s">
        <v>136</v>
      </c>
      <c r="D399" s="15" t="n">
        <v>1.46612</v>
      </c>
      <c r="E399" s="13" t="n">
        <v>0.99771</v>
      </c>
      <c r="F399" s="16" t="n">
        <f aca="false">IF(H399=1,"",D399/E399)</f>
        <v>1.46948512092692</v>
      </c>
      <c r="G399" s="17" t="n">
        <f aca="false">IF(H399=1,"",D399/E399*Notas!$B$3)</f>
        <v>139.601086488058</v>
      </c>
      <c r="H399" s="13" t="n">
        <v>0</v>
      </c>
      <c r="I399" s="17" t="n">
        <f aca="false">IF(H399=1,D399,G399)</f>
        <v>139.601086488058</v>
      </c>
    </row>
    <row r="400" customFormat="false" ht="15" hidden="false" customHeight="false" outlineLevel="0" collapsed="false">
      <c r="A400" s="13" t="s">
        <v>231</v>
      </c>
      <c r="B400" s="13" t="s">
        <v>114</v>
      </c>
      <c r="C400" s="13" t="s">
        <v>137</v>
      </c>
      <c r="D400" s="15" t="n">
        <v>0.55163</v>
      </c>
      <c r="E400" s="13" t="n">
        <v>0.99771</v>
      </c>
      <c r="F400" s="16" t="n">
        <f aca="false">IF(H400=1,"",D400/E400)</f>
        <v>0.552896132142607</v>
      </c>
      <c r="G400" s="17" t="n">
        <f aca="false">IF(H400=1,"",D400/E400*Notas!$B$3)</f>
        <v>52.5251325535476</v>
      </c>
      <c r="H400" s="13" t="n">
        <v>0</v>
      </c>
      <c r="I400" s="17" t="n">
        <f aca="false">IF(H400=1,D400,G400)</f>
        <v>52.5251325535476</v>
      </c>
    </row>
    <row r="401" customFormat="false" ht="15" hidden="false" customHeight="false" outlineLevel="0" collapsed="false">
      <c r="A401" s="13" t="s">
        <v>231</v>
      </c>
      <c r="B401" s="13" t="s">
        <v>114</v>
      </c>
      <c r="C401" s="13" t="s">
        <v>138</v>
      </c>
      <c r="D401" s="15" t="n">
        <v>1</v>
      </c>
      <c r="E401" s="13" t="n">
        <v>0.99771</v>
      </c>
      <c r="F401" s="16" t="str">
        <f aca="false">IF(H401=1,"",D401/E401)</f>
        <v/>
      </c>
      <c r="G401" s="17" t="str">
        <f aca="false">IF(H401=1,"",D401/E401*Notas!$B$3)</f>
        <v/>
      </c>
      <c r="H401" s="13" t="n">
        <v>1</v>
      </c>
      <c r="I401" s="17" t="n">
        <f aca="false">IF(H401=1,D401,G401)</f>
        <v>1</v>
      </c>
    </row>
    <row r="402" customFormat="false" ht="15" hidden="false" customHeight="false" outlineLevel="0" collapsed="false">
      <c r="A402" s="13" t="s">
        <v>231</v>
      </c>
      <c r="B402" s="13" t="s">
        <v>139</v>
      </c>
      <c r="C402" s="13" t="s">
        <v>140</v>
      </c>
      <c r="D402" s="15" t="n">
        <v>0.014</v>
      </c>
      <c r="E402" s="13" t="n">
        <v>0.99771</v>
      </c>
      <c r="F402" s="16" t="n">
        <f aca="false">IF(H402=1,"",D402/E402)</f>
        <v>0.0140321335859117</v>
      </c>
      <c r="G402" s="17" t="n">
        <f aca="false">IF(H402=1,"",D402/E402*Notas!$B$3)</f>
        <v>1.33305269066162</v>
      </c>
      <c r="H402" s="13" t="n">
        <v>0</v>
      </c>
      <c r="I402" s="17" t="n">
        <f aca="false">IF(H402=1,D402,G402)</f>
        <v>1.33305269066162</v>
      </c>
    </row>
    <row r="403" customFormat="false" ht="15" hidden="false" customHeight="false" outlineLevel="0" collapsed="false">
      <c r="A403" s="13" t="s">
        <v>231</v>
      </c>
      <c r="B403" s="13" t="s">
        <v>139</v>
      </c>
      <c r="C403" s="13" t="s">
        <v>141</v>
      </c>
      <c r="D403" s="15" t="n">
        <v>0.03004</v>
      </c>
      <c r="E403" s="13" t="n">
        <v>0.99771</v>
      </c>
      <c r="F403" s="16" t="n">
        <f aca="false">IF(H403=1,"",D403/E403)</f>
        <v>0.030108949494342</v>
      </c>
      <c r="G403" s="17" t="n">
        <f aca="false">IF(H403=1,"",D403/E403*Notas!$B$3)</f>
        <v>2.86035020196249</v>
      </c>
      <c r="H403" s="13" t="n">
        <v>0</v>
      </c>
      <c r="I403" s="17" t="n">
        <f aca="false">IF(H403=1,D403,G403)</f>
        <v>2.86035020196249</v>
      </c>
    </row>
    <row r="404" customFormat="false" ht="15" hidden="false" customHeight="false" outlineLevel="0" collapsed="false">
      <c r="A404" s="13" t="s">
        <v>231</v>
      </c>
      <c r="B404" s="13" t="s">
        <v>139</v>
      </c>
      <c r="C404" s="13" t="s">
        <v>142</v>
      </c>
      <c r="D404" s="15" t="n">
        <v>0.00283</v>
      </c>
      <c r="E404" s="13" t="n">
        <v>0.99771</v>
      </c>
      <c r="F404" s="16" t="n">
        <f aca="false">IF(H404=1,"",D404/E404)</f>
        <v>0.00283649557486644</v>
      </c>
      <c r="G404" s="17" t="n">
        <f aca="false">IF(H404=1,"",D404/E404*Notas!$B$3)</f>
        <v>0.269467079612312</v>
      </c>
      <c r="H404" s="13" t="n">
        <v>0</v>
      </c>
      <c r="I404" s="17" t="n">
        <f aca="false">IF(H404=1,D404,G404)</f>
        <v>0.269467079612312</v>
      </c>
    </row>
    <row r="405" customFormat="false" ht="15" hidden="false" customHeight="false" outlineLevel="0" collapsed="false">
      <c r="A405" s="13" t="s">
        <v>231</v>
      </c>
      <c r="B405" s="13" t="s">
        <v>143</v>
      </c>
      <c r="C405" s="13" t="s">
        <v>144</v>
      </c>
      <c r="D405" s="15" t="n">
        <v>0.33767</v>
      </c>
      <c r="E405" s="13" t="n">
        <v>0.99771</v>
      </c>
      <c r="F405" s="16" t="n">
        <f aca="false">IF(H405=1,"",D405/E405)</f>
        <v>0.33844503913963</v>
      </c>
      <c r="G405" s="17" t="n">
        <f aca="false">IF(H405=1,"",D405/E405*Notas!$B$3)</f>
        <v>32.1522787182648</v>
      </c>
      <c r="H405" s="13" t="n">
        <v>0</v>
      </c>
      <c r="I405" s="17" t="n">
        <f aca="false">IF(H405=1,D405,G405)</f>
        <v>32.1522787182648</v>
      </c>
    </row>
    <row r="406" customFormat="false" ht="15" hidden="false" customHeight="false" outlineLevel="0" collapsed="false">
      <c r="A406" s="13" t="s">
        <v>231</v>
      </c>
      <c r="B406" s="13" t="s">
        <v>143</v>
      </c>
      <c r="C406" s="13" t="s">
        <v>145</v>
      </c>
      <c r="D406" s="15" t="n">
        <v>0.32368</v>
      </c>
      <c r="E406" s="13" t="n">
        <v>0.99771</v>
      </c>
      <c r="F406" s="16" t="n">
        <f aca="false">IF(H406=1,"",D406/E406)</f>
        <v>0.324422928506279</v>
      </c>
      <c r="G406" s="17" t="n">
        <f aca="false">IF(H406=1,"",D406/E406*Notas!$B$3)</f>
        <v>30.8201782080965</v>
      </c>
      <c r="H406" s="13" t="n">
        <v>0</v>
      </c>
      <c r="I406" s="17" t="n">
        <f aca="false">IF(H406=1,D406,G406)</f>
        <v>30.8201782080965</v>
      </c>
    </row>
    <row r="407" customFormat="false" ht="15" hidden="false" customHeight="false" outlineLevel="0" collapsed="false">
      <c r="A407" s="13" t="s">
        <v>231</v>
      </c>
      <c r="B407" s="13" t="s">
        <v>143</v>
      </c>
      <c r="C407" s="13" t="s">
        <v>146</v>
      </c>
      <c r="D407" s="15" t="n">
        <v>0.2186</v>
      </c>
      <c r="E407" s="13" t="n">
        <v>0.99771</v>
      </c>
      <c r="F407" s="16" t="n">
        <f aca="false">IF(H407=1,"",D407/E407)</f>
        <v>0.21910174299145</v>
      </c>
      <c r="G407" s="17" t="n">
        <f aca="false">IF(H407=1,"",D407/E407*Notas!$B$3)</f>
        <v>20.8146655841878</v>
      </c>
      <c r="H407" s="13" t="n">
        <v>0</v>
      </c>
      <c r="I407" s="17" t="n">
        <f aca="false">IF(H407=1,D407,G407)</f>
        <v>20.8146655841878</v>
      </c>
    </row>
    <row r="408" customFormat="false" ht="15" hidden="false" customHeight="false" outlineLevel="0" collapsed="false">
      <c r="A408" s="13" t="s">
        <v>231</v>
      </c>
      <c r="B408" s="13" t="s">
        <v>143</v>
      </c>
      <c r="C408" s="13" t="s">
        <v>147</v>
      </c>
      <c r="D408" s="15" t="n">
        <v>0.2046</v>
      </c>
      <c r="E408" s="13" t="n">
        <v>0.99771</v>
      </c>
      <c r="F408" s="16" t="n">
        <f aca="false">IF(H408=1,"",D408/E408)</f>
        <v>0.205069609405539</v>
      </c>
      <c r="G408" s="17" t="n">
        <f aca="false">IF(H408=1,"",D408/E408*Notas!$B$3)</f>
        <v>19.4816128935262</v>
      </c>
      <c r="H408" s="13" t="n">
        <v>0</v>
      </c>
      <c r="I408" s="17" t="n">
        <f aca="false">IF(H408=1,D408,G408)</f>
        <v>19.4816128935262</v>
      </c>
    </row>
    <row r="409" customFormat="false" ht="15" hidden="false" customHeight="false" outlineLevel="0" collapsed="false">
      <c r="A409" s="13" t="s">
        <v>231</v>
      </c>
      <c r="B409" s="13" t="s">
        <v>143</v>
      </c>
      <c r="C409" s="13" t="s">
        <v>148</v>
      </c>
      <c r="D409" s="15" t="n">
        <v>0.13536</v>
      </c>
      <c r="E409" s="13" t="n">
        <v>0.99771</v>
      </c>
      <c r="F409" s="16" t="n">
        <f aca="false">IF(H409=1,"",D409/E409)</f>
        <v>0.135670685870644</v>
      </c>
      <c r="G409" s="17" t="n">
        <f aca="false">IF(H409=1,"",D409/E409*Notas!$B$3)</f>
        <v>12.8887151577112</v>
      </c>
      <c r="H409" s="13" t="n">
        <v>0</v>
      </c>
      <c r="I409" s="17" t="n">
        <f aca="false">IF(H409=1,D409,G409)</f>
        <v>12.8887151577112</v>
      </c>
    </row>
    <row r="410" customFormat="false" ht="15" hidden="false" customHeight="false" outlineLevel="0" collapsed="false">
      <c r="A410" s="13" t="s">
        <v>231</v>
      </c>
      <c r="B410" s="13" t="s">
        <v>143</v>
      </c>
      <c r="C410" s="13" t="s">
        <v>149</v>
      </c>
      <c r="D410" s="15" t="n">
        <v>0.13656</v>
      </c>
      <c r="E410" s="13" t="n">
        <v>0.99771</v>
      </c>
      <c r="F410" s="16" t="n">
        <f aca="false">IF(H410=1,"",D410/E410)</f>
        <v>0.136873440178008</v>
      </c>
      <c r="G410" s="17" t="n">
        <f aca="false">IF(H410=1,"",D410/E410*Notas!$B$3)</f>
        <v>13.0029768169107</v>
      </c>
      <c r="H410" s="13" t="n">
        <v>0</v>
      </c>
      <c r="I410" s="17" t="n">
        <f aca="false">IF(H410=1,D410,G410)</f>
        <v>13.0029768169107</v>
      </c>
    </row>
    <row r="411" customFormat="false" ht="15" hidden="false" customHeight="false" outlineLevel="0" collapsed="false">
      <c r="A411" s="13" t="s">
        <v>231</v>
      </c>
      <c r="B411" s="13" t="s">
        <v>143</v>
      </c>
      <c r="C411" s="13" t="s">
        <v>150</v>
      </c>
      <c r="D411" s="15" t="n">
        <v>0.46848</v>
      </c>
      <c r="E411" s="13" t="n">
        <v>0.99771</v>
      </c>
      <c r="F411" s="16" t="n">
        <f aca="false">IF(H411=1,"",D411/E411)</f>
        <v>0.469555281594852</v>
      </c>
      <c r="G411" s="17" t="n">
        <f aca="false">IF(H411=1,"",D411/E411*Notas!$B$3)</f>
        <v>44.607751751511</v>
      </c>
      <c r="H411" s="13" t="n">
        <v>0</v>
      </c>
      <c r="I411" s="17" t="n">
        <f aca="false">IF(H411=1,D411,G411)</f>
        <v>44.607751751511</v>
      </c>
    </row>
    <row r="412" customFormat="false" ht="15" hidden="false" customHeight="false" outlineLevel="0" collapsed="false">
      <c r="A412" s="13" t="s">
        <v>231</v>
      </c>
      <c r="B412" s="13" t="s">
        <v>143</v>
      </c>
      <c r="C412" s="13" t="s">
        <v>151</v>
      </c>
      <c r="D412" s="15" t="n">
        <v>0.53616</v>
      </c>
      <c r="E412" s="13" t="n">
        <v>0.99771</v>
      </c>
      <c r="F412" s="16" t="n">
        <f aca="false">IF(H412=1,"",D412/E412)</f>
        <v>0.537390624530174</v>
      </c>
      <c r="G412" s="17" t="n">
        <f aca="false">IF(H412=1,"",D412/E412*Notas!$B$3)</f>
        <v>51.0521093303665</v>
      </c>
      <c r="H412" s="13" t="n">
        <v>0</v>
      </c>
      <c r="I412" s="17" t="n">
        <f aca="false">IF(H412=1,D412,G412)</f>
        <v>51.0521093303665</v>
      </c>
    </row>
    <row r="413" customFormat="false" ht="15" hidden="false" customHeight="false" outlineLevel="0" collapsed="false">
      <c r="A413" s="13" t="s">
        <v>231</v>
      </c>
      <c r="B413" s="13" t="s">
        <v>143</v>
      </c>
      <c r="C413" s="13" t="s">
        <v>152</v>
      </c>
      <c r="D413" s="15" t="n">
        <v>0.4008</v>
      </c>
      <c r="E413" s="13" t="n">
        <v>0.99771</v>
      </c>
      <c r="F413" s="16" t="n">
        <f aca="false">IF(H413=1,"",D413/E413)</f>
        <v>0.40171993865953</v>
      </c>
      <c r="G413" s="17" t="n">
        <f aca="false">IF(H413=1,"",D413/E413*Notas!$B$3)</f>
        <v>38.1633941726554</v>
      </c>
      <c r="H413" s="13" t="n">
        <v>0</v>
      </c>
      <c r="I413" s="17" t="n">
        <f aca="false">IF(H413=1,D413,G413)</f>
        <v>38.1633941726554</v>
      </c>
    </row>
    <row r="414" customFormat="false" ht="15" hidden="false" customHeight="false" outlineLevel="0" collapsed="false">
      <c r="A414" s="13" t="s">
        <v>231</v>
      </c>
      <c r="B414" s="13" t="s">
        <v>143</v>
      </c>
      <c r="C414" s="13" t="s">
        <v>153</v>
      </c>
      <c r="D414" s="15" t="n">
        <v>0.10976</v>
      </c>
      <c r="E414" s="13" t="n">
        <v>0.99771</v>
      </c>
      <c r="F414" s="16" t="n">
        <f aca="false">IF(H414=1,"",D414/E414)</f>
        <v>0.110011927313548</v>
      </c>
      <c r="G414" s="17" t="n">
        <f aca="false">IF(H414=1,"",D414/E414*Notas!$B$3)</f>
        <v>10.4511330947871</v>
      </c>
      <c r="H414" s="13" t="n">
        <v>0</v>
      </c>
      <c r="I414" s="17" t="n">
        <f aca="false">IF(H414=1,D414,G414)</f>
        <v>10.4511330947871</v>
      </c>
    </row>
    <row r="415" customFormat="false" ht="15" hidden="false" customHeight="false" outlineLevel="0" collapsed="false">
      <c r="A415" s="13" t="s">
        <v>231</v>
      </c>
      <c r="B415" s="13" t="s">
        <v>143</v>
      </c>
      <c r="C415" s="13" t="s">
        <v>154</v>
      </c>
      <c r="D415" s="15" t="n">
        <v>0.10783</v>
      </c>
      <c r="E415" s="13" t="n">
        <v>0.99771</v>
      </c>
      <c r="F415" s="16" t="n">
        <f aca="false">IF(H415=1,"",D415/E415)</f>
        <v>0.108077497469204</v>
      </c>
      <c r="G415" s="17" t="n">
        <f aca="false">IF(H415=1,"",D415/E415*Notas!$B$3)</f>
        <v>10.2673622595744</v>
      </c>
      <c r="H415" s="13" t="n">
        <v>0</v>
      </c>
      <c r="I415" s="17" t="n">
        <f aca="false">IF(H415=1,D415,G415)</f>
        <v>10.2673622595744</v>
      </c>
    </row>
    <row r="416" customFormat="false" ht="15" hidden="false" customHeight="false" outlineLevel="0" collapsed="false">
      <c r="A416" s="13" t="s">
        <v>231</v>
      </c>
      <c r="B416" s="13" t="s">
        <v>143</v>
      </c>
      <c r="C416" s="13" t="s">
        <v>155</v>
      </c>
      <c r="D416" s="15" t="n">
        <v>0.35225</v>
      </c>
      <c r="E416" s="13" t="n">
        <v>0.99771</v>
      </c>
      <c r="F416" s="16" t="n">
        <f aca="false">IF(H416=1,"",D416/E416)</f>
        <v>0.353058503974101</v>
      </c>
      <c r="G416" s="17" t="n">
        <f aca="false">IF(H416=1,"",D416/E416*Notas!$B$3)</f>
        <v>33.5405578775396</v>
      </c>
      <c r="H416" s="13" t="n">
        <v>0</v>
      </c>
      <c r="I416" s="17" t="n">
        <f aca="false">IF(H416=1,D416,G416)</f>
        <v>33.5405578775396</v>
      </c>
    </row>
    <row r="417" customFormat="false" ht="15" hidden="false" customHeight="false" outlineLevel="0" collapsed="false">
      <c r="A417" s="13" t="s">
        <v>231</v>
      </c>
      <c r="B417" s="13" t="s">
        <v>143</v>
      </c>
      <c r="C417" s="13" t="s">
        <v>156</v>
      </c>
      <c r="D417" s="15" t="n">
        <v>0.13539</v>
      </c>
      <c r="E417" s="13" t="n">
        <v>0.99771</v>
      </c>
      <c r="F417" s="16" t="n">
        <f aca="false">IF(H417=1,"",D417/E417)</f>
        <v>0.135700754728328</v>
      </c>
      <c r="G417" s="17" t="n">
        <f aca="false">IF(H417=1,"",D417/E417*Notas!$B$3)</f>
        <v>12.8915716991911</v>
      </c>
      <c r="H417" s="13" t="n">
        <v>0</v>
      </c>
      <c r="I417" s="17" t="n">
        <f aca="false">IF(H417=1,D417,G417)</f>
        <v>12.8915716991911</v>
      </c>
    </row>
    <row r="418" customFormat="false" ht="15" hidden="false" customHeight="false" outlineLevel="0" collapsed="false">
      <c r="A418" s="13" t="s">
        <v>231</v>
      </c>
      <c r="B418" s="13" t="s">
        <v>143</v>
      </c>
      <c r="C418" s="13" t="s">
        <v>157</v>
      </c>
      <c r="D418" s="15" t="n">
        <v>0.13605</v>
      </c>
      <c r="E418" s="13" t="n">
        <v>0.99771</v>
      </c>
      <c r="F418" s="16" t="n">
        <f aca="false">IF(H418=1,"",D418/E418)</f>
        <v>0.136362269597378</v>
      </c>
      <c r="G418" s="17" t="n">
        <f aca="false">IF(H418=1,"",D418/E418*Notas!$B$3)</f>
        <v>12.9544156117509</v>
      </c>
      <c r="H418" s="13" t="n">
        <v>0</v>
      </c>
      <c r="I418" s="17" t="n">
        <f aca="false">IF(H418=1,D418,G418)</f>
        <v>12.9544156117509</v>
      </c>
    </row>
    <row r="419" customFormat="false" ht="15" hidden="false" customHeight="false" outlineLevel="0" collapsed="false">
      <c r="A419" s="13" t="s">
        <v>231</v>
      </c>
      <c r="B419" s="13" t="s">
        <v>143</v>
      </c>
      <c r="C419" s="13" t="s">
        <v>158</v>
      </c>
      <c r="D419" s="15" t="n">
        <v>0.43654</v>
      </c>
      <c r="E419" s="13" t="n">
        <v>0.99771</v>
      </c>
      <c r="F419" s="16" t="n">
        <f aca="false">IF(H419=1,"",D419/E419)</f>
        <v>0.437541971113851</v>
      </c>
      <c r="G419" s="17" t="n">
        <f aca="false">IF(H419=1,"",D419/E419*Notas!$B$3)</f>
        <v>41.5664872558158</v>
      </c>
      <c r="H419" s="13" t="n">
        <v>0</v>
      </c>
      <c r="I419" s="17" t="n">
        <f aca="false">IF(H419=1,D419,G419)</f>
        <v>41.5664872558158</v>
      </c>
    </row>
    <row r="420" customFormat="false" ht="15" hidden="false" customHeight="false" outlineLevel="0" collapsed="false">
      <c r="A420" s="13" t="s">
        <v>231</v>
      </c>
      <c r="B420" s="13" t="s">
        <v>143</v>
      </c>
      <c r="C420" s="13" t="s">
        <v>159</v>
      </c>
      <c r="D420" s="15" t="n">
        <v>0.83019</v>
      </c>
      <c r="E420" s="13" t="n">
        <v>0.99771</v>
      </c>
      <c r="F420" s="16" t="n">
        <f aca="false">IF(H420=1,"",D420/E420)</f>
        <v>0.832095498692005</v>
      </c>
      <c r="G420" s="17" t="n">
        <f aca="false">IF(H420=1,"",D420/E420*Notas!$B$3)</f>
        <v>79.0490723757405</v>
      </c>
      <c r="H420" s="13" t="n">
        <v>0</v>
      </c>
      <c r="I420" s="17" t="n">
        <f aca="false">IF(H420=1,D420,G420)</f>
        <v>79.0490723757405</v>
      </c>
    </row>
    <row r="421" customFormat="false" ht="15" hidden="false" customHeight="false" outlineLevel="0" collapsed="false">
      <c r="A421" s="13" t="s">
        <v>231</v>
      </c>
      <c r="B421" s="13" t="s">
        <v>139</v>
      </c>
      <c r="C421" s="13" t="s">
        <v>160</v>
      </c>
      <c r="D421" s="15" t="n">
        <v>0.02311</v>
      </c>
      <c r="E421" s="13" t="n">
        <v>0.99771</v>
      </c>
      <c r="F421" s="16" t="n">
        <f aca="false">IF(H421=1,"",D421/E421)</f>
        <v>0.0231630433693157</v>
      </c>
      <c r="G421" s="17" t="n">
        <f aca="false">IF(H421=1,"",D421/E421*Notas!$B$3)</f>
        <v>2.20048912008499</v>
      </c>
      <c r="H421" s="13" t="n">
        <v>0</v>
      </c>
      <c r="I421" s="17" t="n">
        <f aca="false">IF(H421=1,D421,G421)</f>
        <v>2.20048912008499</v>
      </c>
    </row>
    <row r="422" customFormat="false" ht="15" hidden="false" customHeight="false" outlineLevel="0" collapsed="false">
      <c r="A422" s="13" t="s">
        <v>231</v>
      </c>
      <c r="B422" s="13" t="s">
        <v>139</v>
      </c>
      <c r="C422" s="13" t="s">
        <v>161</v>
      </c>
      <c r="D422" s="15" t="n">
        <v>0.01829</v>
      </c>
      <c r="E422" s="13" t="n">
        <v>0.99771</v>
      </c>
      <c r="F422" s="16" t="n">
        <f aca="false">IF(H422=1,"",D422/E422)</f>
        <v>0.0183319802347376</v>
      </c>
      <c r="G422" s="17" t="n">
        <f aca="false">IF(H422=1,"",D422/E422*Notas!$B$3)</f>
        <v>1.74153812230007</v>
      </c>
      <c r="H422" s="13" t="n">
        <v>0</v>
      </c>
      <c r="I422" s="17" t="n">
        <f aca="false">IF(H422=1,D422,G422)</f>
        <v>1.74153812230007</v>
      </c>
    </row>
    <row r="423" customFormat="false" ht="15" hidden="false" customHeight="false" outlineLevel="0" collapsed="false">
      <c r="A423" s="13" t="s">
        <v>231</v>
      </c>
      <c r="B423" s="13" t="s">
        <v>139</v>
      </c>
      <c r="C423" s="13" t="s">
        <v>162</v>
      </c>
      <c r="D423" s="15" t="n">
        <v>0.00064</v>
      </c>
      <c r="E423" s="13" t="n">
        <v>0.99771</v>
      </c>
      <c r="F423" s="16" t="n">
        <f aca="false">IF(H423=1,"",D423/E423)</f>
        <v>0.000641468963927394</v>
      </c>
      <c r="G423" s="17" t="n">
        <f aca="false">IF(H423=1,"",D423/E423*Notas!$B$3)</f>
        <v>0.0609395515731024</v>
      </c>
      <c r="H423" s="13" t="n">
        <v>0</v>
      </c>
      <c r="I423" s="17" t="n">
        <f aca="false">IF(H423=1,D423,G423)</f>
        <v>0.0609395515731024</v>
      </c>
    </row>
    <row r="424" customFormat="false" ht="15" hidden="false" customHeight="false" outlineLevel="0" collapsed="false">
      <c r="A424" s="13" t="s">
        <v>231</v>
      </c>
      <c r="B424" s="13" t="s">
        <v>143</v>
      </c>
      <c r="C424" s="13" t="s">
        <v>163</v>
      </c>
      <c r="D424" s="15" t="n">
        <v>0.34707</v>
      </c>
      <c r="E424" s="13" t="n">
        <v>0.99771</v>
      </c>
      <c r="F424" s="16" t="n">
        <f aca="false">IF(H424=1,"",D424/E424)</f>
        <v>0.347866614547313</v>
      </c>
      <c r="G424" s="17" t="n">
        <f aca="false">IF(H424=1,"",D424/E424*Notas!$B$3)</f>
        <v>33.0473283819948</v>
      </c>
      <c r="H424" s="13" t="n">
        <v>0</v>
      </c>
      <c r="I424" s="17" t="n">
        <f aca="false">IF(H424=1,D424,G424)</f>
        <v>33.0473283819948</v>
      </c>
    </row>
    <row r="425" customFormat="false" ht="15" hidden="false" customHeight="false" outlineLevel="0" collapsed="false">
      <c r="A425" s="13" t="s">
        <v>231</v>
      </c>
      <c r="B425" s="13" t="s">
        <v>143</v>
      </c>
      <c r="C425" s="13" t="s">
        <v>164</v>
      </c>
      <c r="D425" s="15" t="n">
        <v>0.32396</v>
      </c>
      <c r="E425" s="13" t="n">
        <v>0.99771</v>
      </c>
      <c r="F425" s="16" t="n">
        <f aca="false">IF(H425=1,"",D425/E425)</f>
        <v>0.324703571177998</v>
      </c>
      <c r="G425" s="17" t="n">
        <f aca="false">IF(H425=1,"",D425/E425*Notas!$B$3)</f>
        <v>30.8468392619098</v>
      </c>
      <c r="H425" s="13" t="n">
        <v>0</v>
      </c>
      <c r="I425" s="17" t="n">
        <f aca="false">IF(H425=1,D425,G425)</f>
        <v>30.8468392619098</v>
      </c>
    </row>
    <row r="426" customFormat="false" ht="15" hidden="false" customHeight="false" outlineLevel="0" collapsed="false">
      <c r="A426" s="13" t="s">
        <v>231</v>
      </c>
      <c r="B426" s="13" t="s">
        <v>143</v>
      </c>
      <c r="C426" s="13" t="s">
        <v>165</v>
      </c>
      <c r="D426" s="15" t="n">
        <v>0.228</v>
      </c>
      <c r="E426" s="13" t="n">
        <v>0.99771</v>
      </c>
      <c r="F426" s="16" t="n">
        <f aca="false">IF(H426=1,"",D426/E426)</f>
        <v>0.228523318399134</v>
      </c>
      <c r="G426" s="17" t="n">
        <f aca="false">IF(H426=1,"",D426/E426*Notas!$B$3)</f>
        <v>21.7097152479177</v>
      </c>
      <c r="H426" s="13" t="n">
        <v>0</v>
      </c>
      <c r="I426" s="17" t="n">
        <f aca="false">IF(H426=1,D426,G426)</f>
        <v>21.7097152479177</v>
      </c>
    </row>
    <row r="427" customFormat="false" ht="15" hidden="false" customHeight="false" outlineLevel="0" collapsed="false">
      <c r="A427" s="13" t="s">
        <v>231</v>
      </c>
      <c r="B427" s="13" t="s">
        <v>143</v>
      </c>
      <c r="C427" s="13" t="s">
        <v>166</v>
      </c>
      <c r="D427" s="15" t="n">
        <v>0.20488</v>
      </c>
      <c r="E427" s="13" t="n">
        <v>0.99771</v>
      </c>
      <c r="F427" s="16" t="n">
        <f aca="false">IF(H427=1,"",D427/E427)</f>
        <v>0.205350252077257</v>
      </c>
      <c r="G427" s="17" t="n">
        <f aca="false">IF(H427=1,"",D427/E427*Notas!$B$3)</f>
        <v>19.5082739473394</v>
      </c>
      <c r="H427" s="13" t="n">
        <v>0</v>
      </c>
      <c r="I427" s="17" t="n">
        <f aca="false">IF(H427=1,D427,G427)</f>
        <v>19.5082739473394</v>
      </c>
    </row>
    <row r="428" customFormat="false" ht="15" hidden="false" customHeight="false" outlineLevel="0" collapsed="false">
      <c r="A428" s="13" t="s">
        <v>231</v>
      </c>
      <c r="B428" s="13" t="s">
        <v>143</v>
      </c>
      <c r="C428" s="13" t="s">
        <v>167</v>
      </c>
      <c r="D428" s="15" t="n">
        <v>0.1329</v>
      </c>
      <c r="E428" s="13" t="n">
        <v>0.99771</v>
      </c>
      <c r="F428" s="16" t="n">
        <f aca="false">IF(H428=1,"",D428/E428)</f>
        <v>0.133205039540548</v>
      </c>
      <c r="G428" s="17" t="n">
        <f aca="false">IF(H428=1,"",D428/E428*Notas!$B$3)</f>
        <v>12.654478756352</v>
      </c>
      <c r="H428" s="13" t="n">
        <v>0</v>
      </c>
      <c r="I428" s="17" t="n">
        <f aca="false">IF(H428=1,D428,G428)</f>
        <v>12.654478756352</v>
      </c>
    </row>
    <row r="429" customFormat="false" ht="15" hidden="false" customHeight="false" outlineLevel="0" collapsed="false">
      <c r="A429" s="13" t="s">
        <v>231</v>
      </c>
      <c r="B429" s="13" t="s">
        <v>143</v>
      </c>
      <c r="C429" s="13" t="s">
        <v>168</v>
      </c>
      <c r="D429" s="15" t="n">
        <v>0.13656</v>
      </c>
      <c r="E429" s="13" t="n">
        <v>0.99771</v>
      </c>
      <c r="F429" s="16" t="n">
        <f aca="false">IF(H429=1,"",D429/E429)</f>
        <v>0.136873440178008</v>
      </c>
      <c r="G429" s="17" t="n">
        <f aca="false">IF(H429=1,"",D429/E429*Notas!$B$3)</f>
        <v>13.0029768169107</v>
      </c>
      <c r="H429" s="13" t="n">
        <v>0</v>
      </c>
      <c r="I429" s="17" t="n">
        <f aca="false">IF(H429=1,D429,G429)</f>
        <v>13.0029768169107</v>
      </c>
    </row>
    <row r="430" customFormat="false" ht="15" hidden="false" customHeight="false" outlineLevel="0" collapsed="false">
      <c r="A430" s="13" t="s">
        <v>231</v>
      </c>
      <c r="B430" s="13" t="s">
        <v>143</v>
      </c>
      <c r="C430" s="13" t="s">
        <v>169</v>
      </c>
      <c r="D430" s="15" t="n">
        <v>0.46715</v>
      </c>
      <c r="E430" s="13" t="n">
        <v>0.99771</v>
      </c>
      <c r="F430" s="16" t="n">
        <f aca="false">IF(H430=1,"",D430/E430)</f>
        <v>0.468222228904191</v>
      </c>
      <c r="G430" s="17" t="n">
        <f aca="false">IF(H430=1,"",D430/E430*Notas!$B$3)</f>
        <v>44.4811117458981</v>
      </c>
      <c r="H430" s="13" t="n">
        <v>0</v>
      </c>
      <c r="I430" s="17" t="n">
        <f aca="false">IF(H430=1,D430,G430)</f>
        <v>44.4811117458981</v>
      </c>
    </row>
    <row r="431" customFormat="false" ht="15" hidden="false" customHeight="false" outlineLevel="0" collapsed="false">
      <c r="A431" s="13" t="s">
        <v>231</v>
      </c>
      <c r="B431" s="13" t="s">
        <v>143</v>
      </c>
      <c r="C431" s="13" t="s">
        <v>170</v>
      </c>
      <c r="D431" s="15" t="n">
        <v>0.5336</v>
      </c>
      <c r="E431" s="13" t="n">
        <v>0.99771</v>
      </c>
      <c r="F431" s="16" t="n">
        <f aca="false">IF(H431=1,"",D431/E431)</f>
        <v>0.534824748674465</v>
      </c>
      <c r="G431" s="17" t="n">
        <f aca="false">IF(H431=1,"",D431/E431*Notas!$B$3)</f>
        <v>50.8083511240741</v>
      </c>
      <c r="H431" s="13" t="n">
        <v>0</v>
      </c>
      <c r="I431" s="17" t="n">
        <f aca="false">IF(H431=1,D431,G431)</f>
        <v>50.8083511240741</v>
      </c>
    </row>
    <row r="432" customFormat="false" ht="15" hidden="false" customHeight="false" outlineLevel="0" collapsed="false">
      <c r="A432" s="13" t="s">
        <v>231</v>
      </c>
      <c r="B432" s="13" t="s">
        <v>143</v>
      </c>
      <c r="C432" s="13" t="s">
        <v>171</v>
      </c>
      <c r="D432" s="15" t="n">
        <v>0.40071</v>
      </c>
      <c r="E432" s="13" t="n">
        <v>0.99771</v>
      </c>
      <c r="F432" s="16" t="n">
        <f aca="false">IF(H432=1,"",D432/E432)</f>
        <v>0.401629732086478</v>
      </c>
      <c r="G432" s="17" t="n">
        <f aca="false">IF(H432=1,"",D432/E432*Notas!$B$3)</f>
        <v>38.1548245482154</v>
      </c>
      <c r="H432" s="13" t="n">
        <v>0</v>
      </c>
      <c r="I432" s="17" t="n">
        <f aca="false">IF(H432=1,D432,G432)</f>
        <v>38.1548245482154</v>
      </c>
    </row>
    <row r="433" customFormat="false" ht="15" hidden="false" customHeight="false" outlineLevel="0" collapsed="false">
      <c r="A433" s="13" t="s">
        <v>231</v>
      </c>
      <c r="B433" s="13" t="s">
        <v>143</v>
      </c>
      <c r="C433" s="13" t="s">
        <v>172</v>
      </c>
      <c r="D433" s="15" t="n">
        <v>0.10882</v>
      </c>
      <c r="E433" s="13" t="n">
        <v>0.99771</v>
      </c>
      <c r="F433" s="16" t="n">
        <f aca="false">IF(H433=1,"",D433/E433)</f>
        <v>0.10906976977278</v>
      </c>
      <c r="G433" s="17" t="n">
        <f aca="false">IF(H433=1,"",D433/E433*Notas!$B$3)</f>
        <v>10.3616281284141</v>
      </c>
      <c r="H433" s="13" t="n">
        <v>0</v>
      </c>
      <c r="I433" s="17" t="n">
        <f aca="false">IF(H433=1,D433,G433)</f>
        <v>10.3616281284141</v>
      </c>
    </row>
    <row r="434" customFormat="false" ht="15" hidden="false" customHeight="false" outlineLevel="0" collapsed="false">
      <c r="A434" s="13" t="s">
        <v>231</v>
      </c>
      <c r="B434" s="13" t="s">
        <v>143</v>
      </c>
      <c r="C434" s="13" t="s">
        <v>173</v>
      </c>
      <c r="D434" s="15" t="n">
        <v>0.10736</v>
      </c>
      <c r="E434" s="13" t="n">
        <v>0.99771</v>
      </c>
      <c r="F434" s="16" t="n">
        <f aca="false">IF(H434=1,"",D434/E434)</f>
        <v>0.10760641869882</v>
      </c>
      <c r="G434" s="17" t="n">
        <f aca="false">IF(H434=1,"",D434/E434*Notas!$B$3)</f>
        <v>10.2226097763879</v>
      </c>
      <c r="H434" s="13" t="n">
        <v>0</v>
      </c>
      <c r="I434" s="17" t="n">
        <f aca="false">IF(H434=1,D434,G434)</f>
        <v>10.2226097763879</v>
      </c>
    </row>
    <row r="435" customFormat="false" ht="15" hidden="false" customHeight="false" outlineLevel="0" collapsed="false">
      <c r="A435" s="13" t="s">
        <v>231</v>
      </c>
      <c r="B435" s="13" t="s">
        <v>143</v>
      </c>
      <c r="C435" s="13" t="s">
        <v>174</v>
      </c>
      <c r="D435" s="15" t="n">
        <v>0.35273</v>
      </c>
      <c r="E435" s="13" t="n">
        <v>0.99771</v>
      </c>
      <c r="F435" s="16" t="n">
        <f aca="false">IF(H435=1,"",D435/E435)</f>
        <v>0.353539605697046</v>
      </c>
      <c r="G435" s="17" t="n">
        <f aca="false">IF(H435=1,"",D435/E435*Notas!$B$3)</f>
        <v>33.5862625412194</v>
      </c>
      <c r="H435" s="13" t="n">
        <v>0</v>
      </c>
      <c r="I435" s="17" t="n">
        <f aca="false">IF(H435=1,D435,G435)</f>
        <v>33.5862625412194</v>
      </c>
    </row>
    <row r="436" customFormat="false" ht="15" hidden="false" customHeight="false" outlineLevel="0" collapsed="false">
      <c r="A436" s="13" t="s">
        <v>231</v>
      </c>
      <c r="B436" s="13" t="s">
        <v>143</v>
      </c>
      <c r="C436" s="13" t="s">
        <v>175</v>
      </c>
      <c r="D436" s="15" t="n">
        <v>0.13493</v>
      </c>
      <c r="E436" s="13" t="n">
        <v>0.99771</v>
      </c>
      <c r="F436" s="16" t="n">
        <f aca="false">IF(H436=1,"",D436/E436)</f>
        <v>0.135239698910505</v>
      </c>
      <c r="G436" s="17" t="n">
        <f aca="false">IF(H436=1,"",D436/E436*Notas!$B$3)</f>
        <v>12.847771396498</v>
      </c>
      <c r="H436" s="13" t="n">
        <v>0</v>
      </c>
      <c r="I436" s="17" t="n">
        <f aca="false">IF(H436=1,D436,G436)</f>
        <v>12.847771396498</v>
      </c>
    </row>
    <row r="437" customFormat="false" ht="15" hidden="false" customHeight="false" outlineLevel="0" collapsed="false">
      <c r="A437" s="13" t="s">
        <v>231</v>
      </c>
      <c r="B437" s="13" t="s">
        <v>143</v>
      </c>
      <c r="C437" s="13" t="s">
        <v>176</v>
      </c>
      <c r="D437" s="15" t="n">
        <v>0.13542</v>
      </c>
      <c r="E437" s="13" t="n">
        <v>0.99771</v>
      </c>
      <c r="F437" s="16" t="n">
        <f aca="false">IF(H437=1,"",D437/E437)</f>
        <v>0.135730823586012</v>
      </c>
      <c r="G437" s="17" t="n">
        <f aca="false">IF(H437=1,"",D437/E437*Notas!$B$3)</f>
        <v>12.8944282406711</v>
      </c>
      <c r="H437" s="13" t="n">
        <v>0</v>
      </c>
      <c r="I437" s="17" t="n">
        <f aca="false">IF(H437=1,D437,G437)</f>
        <v>12.8944282406711</v>
      </c>
    </row>
    <row r="438" customFormat="false" ht="15" hidden="false" customHeight="false" outlineLevel="0" collapsed="false">
      <c r="A438" s="13" t="s">
        <v>231</v>
      </c>
      <c r="B438" s="13" t="s">
        <v>143</v>
      </c>
      <c r="C438" s="13" t="s">
        <v>177</v>
      </c>
      <c r="D438" s="15" t="n">
        <v>0.43611</v>
      </c>
      <c r="E438" s="13" t="n">
        <v>0.99771</v>
      </c>
      <c r="F438" s="16" t="n">
        <f aca="false">IF(H438=1,"",D438/E438)</f>
        <v>0.437110984153712</v>
      </c>
      <c r="G438" s="17" t="n">
        <f aca="false">IF(H438=1,"",D438/E438*Notas!$B$3)</f>
        <v>41.5255434946026</v>
      </c>
      <c r="H438" s="13" t="n">
        <v>0</v>
      </c>
      <c r="I438" s="17" t="n">
        <f aca="false">IF(H438=1,D438,G438)</f>
        <v>41.5255434946026</v>
      </c>
    </row>
    <row r="439" customFormat="false" ht="15" hidden="false" customHeight="false" outlineLevel="0" collapsed="false">
      <c r="A439" s="13" t="s">
        <v>231</v>
      </c>
      <c r="B439" s="13" t="s">
        <v>143</v>
      </c>
      <c r="C439" s="13" t="s">
        <v>159</v>
      </c>
      <c r="D439" s="15" t="n">
        <v>0.83019</v>
      </c>
      <c r="E439" s="13" t="n">
        <v>0.99771</v>
      </c>
      <c r="F439" s="16" t="n">
        <f aca="false">IF(H439=1,"",D439/E439)</f>
        <v>0.832095498692005</v>
      </c>
      <c r="G439" s="17" t="n">
        <f aca="false">IF(H439=1,"",D439/E439*Notas!$B$3)</f>
        <v>79.0490723757405</v>
      </c>
      <c r="H439" s="13" t="n">
        <v>0</v>
      </c>
      <c r="I439" s="17" t="n">
        <f aca="false">IF(H439=1,D439,G439)</f>
        <v>79.0490723757405</v>
      </c>
    </row>
    <row r="440" customFormat="false" ht="15" hidden="false" customHeight="false" outlineLevel="0" collapsed="false">
      <c r="A440" s="13" t="s">
        <v>232</v>
      </c>
      <c r="B440" s="13" t="s">
        <v>17</v>
      </c>
      <c r="C440" s="13" t="s">
        <v>18</v>
      </c>
      <c r="D440" s="15" t="n">
        <v>1.00017</v>
      </c>
      <c r="E440" s="13" t="n">
        <v>1.00017</v>
      </c>
      <c r="F440" s="16" t="n">
        <f aca="false">IF(H440=1,"",D440/E440)</f>
        <v>1</v>
      </c>
      <c r="G440" s="17" t="n">
        <f aca="false">IF(H440=1,"",D440/E440*Notas!$B$3)</f>
        <v>95</v>
      </c>
      <c r="H440" s="13" t="n">
        <v>0</v>
      </c>
      <c r="I440" s="17" t="n">
        <f aca="false">IF(H440=1,D440,G440)</f>
        <v>95</v>
      </c>
    </row>
    <row r="441" customFormat="false" ht="15" hidden="false" customHeight="false" outlineLevel="0" collapsed="false">
      <c r="A441" s="13" t="s">
        <v>232</v>
      </c>
      <c r="B441" s="13" t="s">
        <v>17</v>
      </c>
      <c r="C441" s="13" t="s">
        <v>19</v>
      </c>
      <c r="D441" s="15" t="n">
        <v>0.96421</v>
      </c>
      <c r="E441" s="13" t="n">
        <v>1.00017</v>
      </c>
      <c r="F441" s="16" t="n">
        <f aca="false">IF(H441=1,"",D441/E441)</f>
        <v>0.964046112160933</v>
      </c>
      <c r="G441" s="17" t="n">
        <f aca="false">IF(H441=1,"",D441/E441*Notas!$B$3)</f>
        <v>91.5843806552886</v>
      </c>
      <c r="H441" s="13" t="n">
        <v>0</v>
      </c>
      <c r="I441" s="17" t="n">
        <f aca="false">IF(H441=1,D441,G441)</f>
        <v>91.5843806552886</v>
      </c>
    </row>
    <row r="442" customFormat="false" ht="15" hidden="false" customHeight="false" outlineLevel="0" collapsed="false">
      <c r="A442" s="13" t="s">
        <v>232</v>
      </c>
      <c r="B442" s="13" t="s">
        <v>17</v>
      </c>
      <c r="C442" s="13" t="s">
        <v>20</v>
      </c>
      <c r="D442" s="15" t="n">
        <v>0.77178</v>
      </c>
      <c r="E442" s="13" t="n">
        <v>1.00017</v>
      </c>
      <c r="F442" s="16" t="n">
        <f aca="false">IF(H442=1,"",D442/E442)</f>
        <v>0.771648819700651</v>
      </c>
      <c r="G442" s="17" t="n">
        <f aca="false">IF(H442=1,"",D442/E442*Notas!$B$3)</f>
        <v>73.3066378715618</v>
      </c>
      <c r="H442" s="13" t="n">
        <v>0</v>
      </c>
      <c r="I442" s="17" t="n">
        <f aca="false">IF(H442=1,D442,G442)</f>
        <v>73.3066378715618</v>
      </c>
    </row>
    <row r="443" customFormat="false" ht="15" hidden="false" customHeight="false" outlineLevel="0" collapsed="false">
      <c r="A443" s="13" t="s">
        <v>232</v>
      </c>
      <c r="B443" s="13" t="s">
        <v>17</v>
      </c>
      <c r="C443" s="13" t="s">
        <v>21</v>
      </c>
      <c r="D443" s="15" t="n">
        <v>14198</v>
      </c>
      <c r="E443" s="13" t="n">
        <v>1.00017</v>
      </c>
      <c r="F443" s="16" t="str">
        <f aca="false">IF(H443=1,"",D443/E443)</f>
        <v/>
      </c>
      <c r="G443" s="17" t="str">
        <f aca="false">IF(H443=1,"",D443/E443*Notas!$B$3)</f>
        <v/>
      </c>
      <c r="H443" s="13" t="n">
        <v>1</v>
      </c>
      <c r="I443" s="17" t="n">
        <f aca="false">IF(H443=1,D443,G443)</f>
        <v>14198</v>
      </c>
    </row>
    <row r="444" customFormat="false" ht="15" hidden="false" customHeight="false" outlineLevel="0" collapsed="false">
      <c r="A444" s="13" t="s">
        <v>232</v>
      </c>
      <c r="B444" s="13" t="s">
        <v>17</v>
      </c>
      <c r="C444" s="13" t="s">
        <v>22</v>
      </c>
      <c r="D444" s="15" t="n">
        <v>7101</v>
      </c>
      <c r="E444" s="13" t="n">
        <v>1.00017</v>
      </c>
      <c r="F444" s="16" t="str">
        <f aca="false">IF(H444=1,"",D444/E444)</f>
        <v/>
      </c>
      <c r="G444" s="17" t="str">
        <f aca="false">IF(H444=1,"",D444/E444*Notas!$B$3)</f>
        <v/>
      </c>
      <c r="H444" s="13" t="n">
        <v>1</v>
      </c>
      <c r="I444" s="17" t="n">
        <f aca="false">IF(H444=1,D444,G444)</f>
        <v>7101</v>
      </c>
    </row>
    <row r="445" customFormat="false" ht="15" hidden="false" customHeight="false" outlineLevel="0" collapsed="false">
      <c r="A445" s="13" t="s">
        <v>232</v>
      </c>
      <c r="B445" s="13" t="s">
        <v>17</v>
      </c>
      <c r="C445" s="13" t="s">
        <v>23</v>
      </c>
      <c r="D445" s="15" t="n">
        <v>2.9149</v>
      </c>
      <c r="E445" s="13" t="n">
        <v>1.00017</v>
      </c>
      <c r="F445" s="16" t="str">
        <f aca="false">IF(H445=1,"",D445/E445)</f>
        <v/>
      </c>
      <c r="G445" s="17" t="str">
        <f aca="false">IF(H445=1,"",D445/E445*Notas!$B$3)</f>
        <v/>
      </c>
      <c r="H445" s="13" t="n">
        <v>1</v>
      </c>
      <c r="I445" s="17" t="n">
        <f aca="false">IF(H445=1,D445,G445)</f>
        <v>2.9149</v>
      </c>
    </row>
    <row r="446" customFormat="false" ht="15" hidden="false" customHeight="false" outlineLevel="0" collapsed="false">
      <c r="A446" s="13" t="s">
        <v>232</v>
      </c>
      <c r="B446" s="13" t="s">
        <v>17</v>
      </c>
      <c r="C446" s="13" t="s">
        <v>24</v>
      </c>
      <c r="D446" s="15" t="n">
        <v>0.20608</v>
      </c>
      <c r="E446" s="13" t="n">
        <v>1.00017</v>
      </c>
      <c r="F446" s="16" t="str">
        <f aca="false">IF(H446=1,"",D446/E446)</f>
        <v/>
      </c>
      <c r="G446" s="17" t="str">
        <f aca="false">IF(H446=1,"",D446/E446*Notas!$B$3)</f>
        <v/>
      </c>
      <c r="H446" s="13" t="n">
        <v>1</v>
      </c>
      <c r="I446" s="17" t="n">
        <f aca="false">IF(H446=1,D446,G446)</f>
        <v>0.20608</v>
      </c>
    </row>
    <row r="447" customFormat="false" ht="15" hidden="false" customHeight="false" outlineLevel="0" collapsed="false">
      <c r="A447" s="13" t="s">
        <v>232</v>
      </c>
      <c r="B447" s="13" t="s">
        <v>25</v>
      </c>
      <c r="C447" s="13" t="s">
        <v>26</v>
      </c>
      <c r="D447" s="15" t="n">
        <v>83.42761</v>
      </c>
      <c r="E447" s="13" t="n">
        <v>1.00017</v>
      </c>
      <c r="F447" s="16" t="str">
        <f aca="false">IF(H447=1,"",D447/E447)</f>
        <v/>
      </c>
      <c r="G447" s="17" t="str">
        <f aca="false">IF(H447=1,"",D447/E447*Notas!$B$3)</f>
        <v/>
      </c>
      <c r="H447" s="13" t="n">
        <v>1</v>
      </c>
      <c r="I447" s="17" t="n">
        <f aca="false">IF(H447=1,D447,G447)</f>
        <v>83.42761</v>
      </c>
    </row>
    <row r="448" customFormat="false" ht="15" hidden="false" customHeight="false" outlineLevel="0" collapsed="false">
      <c r="A448" s="13" t="s">
        <v>232</v>
      </c>
      <c r="B448" s="13" t="s">
        <v>25</v>
      </c>
      <c r="C448" s="13" t="s">
        <v>27</v>
      </c>
      <c r="D448" s="15" t="n">
        <v>7.13803</v>
      </c>
      <c r="E448" s="13" t="n">
        <v>1.00017</v>
      </c>
      <c r="F448" s="16" t="str">
        <f aca="false">IF(H448=1,"",D448/E448)</f>
        <v/>
      </c>
      <c r="G448" s="17" t="str">
        <f aca="false">IF(H448=1,"",D448/E448*Notas!$B$3)</f>
        <v/>
      </c>
      <c r="H448" s="13" t="n">
        <v>1</v>
      </c>
      <c r="I448" s="17" t="n">
        <f aca="false">IF(H448=1,D448,G448)</f>
        <v>7.13803</v>
      </c>
    </row>
    <row r="449" customFormat="false" ht="15" hidden="false" customHeight="false" outlineLevel="0" collapsed="false">
      <c r="A449" s="13" t="s">
        <v>232</v>
      </c>
      <c r="B449" s="13" t="s">
        <v>25</v>
      </c>
      <c r="C449" s="13" t="s">
        <v>28</v>
      </c>
      <c r="D449" s="15" t="n">
        <v>9.15431</v>
      </c>
      <c r="E449" s="13" t="n">
        <v>1.00017</v>
      </c>
      <c r="F449" s="16" t="str">
        <f aca="false">IF(H449=1,"",D449/E449)</f>
        <v/>
      </c>
      <c r="G449" s="17" t="str">
        <f aca="false">IF(H449=1,"",D449/E449*Notas!$B$3)</f>
        <v/>
      </c>
      <c r="H449" s="13" t="n">
        <v>1</v>
      </c>
      <c r="I449" s="17" t="n">
        <f aca="false">IF(H449=1,D449,G449)</f>
        <v>9.15431</v>
      </c>
    </row>
    <row r="450" customFormat="false" ht="15" hidden="false" customHeight="false" outlineLevel="0" collapsed="false">
      <c r="A450" s="13" t="s">
        <v>232</v>
      </c>
      <c r="B450" s="13" t="s">
        <v>25</v>
      </c>
      <c r="C450" s="13" t="s">
        <v>29</v>
      </c>
      <c r="D450" s="15" t="n">
        <v>0.28005</v>
      </c>
      <c r="E450" s="13" t="n">
        <v>1.00017</v>
      </c>
      <c r="F450" s="16" t="str">
        <f aca="false">IF(H450=1,"",D450/E450)</f>
        <v/>
      </c>
      <c r="G450" s="17" t="str">
        <f aca="false">IF(H450=1,"",D450/E450*Notas!$B$3)</f>
        <v/>
      </c>
      <c r="H450" s="13" t="n">
        <v>1</v>
      </c>
      <c r="I450" s="17" t="n">
        <f aca="false">IF(H450=1,D450,G450)</f>
        <v>0.28005</v>
      </c>
    </row>
    <row r="451" customFormat="false" ht="15" hidden="false" customHeight="false" outlineLevel="0" collapsed="false">
      <c r="A451" s="13" t="s">
        <v>232</v>
      </c>
      <c r="B451" s="13" t="s">
        <v>30</v>
      </c>
      <c r="C451" s="13" t="s">
        <v>31</v>
      </c>
      <c r="D451" s="15" t="n">
        <v>0.31005</v>
      </c>
      <c r="E451" s="13" t="n">
        <v>1.00017</v>
      </c>
      <c r="F451" s="16" t="n">
        <f aca="false">IF(H451=1,"",D451/E451)</f>
        <v>0.309997300458922</v>
      </c>
      <c r="G451" s="17" t="n">
        <f aca="false">IF(H451=1,"",D451/E451*Notas!$B$3)</f>
        <v>29.4497435435976</v>
      </c>
      <c r="H451" s="13" t="n">
        <v>0</v>
      </c>
      <c r="I451" s="17" t="n">
        <f aca="false">IF(H451=1,D451,G451)</f>
        <v>29.4497435435976</v>
      </c>
    </row>
    <row r="452" customFormat="false" ht="15" hidden="false" customHeight="false" outlineLevel="0" collapsed="false">
      <c r="A452" s="13" t="s">
        <v>232</v>
      </c>
      <c r="B452" s="13" t="s">
        <v>30</v>
      </c>
      <c r="C452" s="13" t="s">
        <v>32</v>
      </c>
      <c r="D452" s="15" t="n">
        <v>0.69012</v>
      </c>
      <c r="E452" s="13" t="n">
        <v>1.00017</v>
      </c>
      <c r="F452" s="16" t="n">
        <f aca="false">IF(H452=1,"",D452/E452)</f>
        <v>0.690002699541078</v>
      </c>
      <c r="G452" s="17" t="n">
        <f aca="false">IF(H452=1,"",D452/E452*Notas!$B$3)</f>
        <v>65.5502564564024</v>
      </c>
      <c r="H452" s="13" t="n">
        <v>0</v>
      </c>
      <c r="I452" s="17" t="n">
        <f aca="false">IF(H452=1,D452,G452)</f>
        <v>65.5502564564024</v>
      </c>
    </row>
    <row r="453" customFormat="false" ht="15" hidden="false" customHeight="false" outlineLevel="0" collapsed="false">
      <c r="A453" s="13" t="s">
        <v>232</v>
      </c>
      <c r="B453" s="13" t="s">
        <v>30</v>
      </c>
      <c r="C453" s="13" t="s">
        <v>33</v>
      </c>
      <c r="D453" s="15" t="n">
        <v>0.96421</v>
      </c>
      <c r="E453" s="13" t="n">
        <v>1.00017</v>
      </c>
      <c r="F453" s="16" t="n">
        <f aca="false">IF(H453=1,"",D453/E453)</f>
        <v>0.964046112160933</v>
      </c>
      <c r="G453" s="17" t="n">
        <f aca="false">IF(H453=1,"",D453/E453*Notas!$B$3)</f>
        <v>91.5843806552886</v>
      </c>
      <c r="H453" s="13" t="n">
        <v>0</v>
      </c>
      <c r="I453" s="17" t="n">
        <f aca="false">IF(H453=1,D453,G453)</f>
        <v>91.5843806552886</v>
      </c>
    </row>
    <row r="454" customFormat="false" ht="15" hidden="false" customHeight="false" outlineLevel="0" collapsed="false">
      <c r="A454" s="13" t="s">
        <v>232</v>
      </c>
      <c r="B454" s="13" t="s">
        <v>30</v>
      </c>
      <c r="C454" s="13" t="s">
        <v>34</v>
      </c>
      <c r="D454" s="15" t="n">
        <v>0.77178</v>
      </c>
      <c r="E454" s="13" t="n">
        <v>1.00017</v>
      </c>
      <c r="F454" s="16" t="n">
        <f aca="false">IF(H454=1,"",D454/E454)</f>
        <v>0.771648819700651</v>
      </c>
      <c r="G454" s="17" t="n">
        <f aca="false">IF(H454=1,"",D454/E454*Notas!$B$3)</f>
        <v>73.3066378715618</v>
      </c>
      <c r="H454" s="13" t="n">
        <v>0</v>
      </c>
      <c r="I454" s="17" t="n">
        <f aca="false">IF(H454=1,D454,G454)</f>
        <v>73.3066378715618</v>
      </c>
    </row>
    <row r="455" customFormat="false" ht="15" hidden="false" customHeight="false" outlineLevel="0" collapsed="false">
      <c r="A455" s="13" t="s">
        <v>232</v>
      </c>
      <c r="B455" s="13" t="s">
        <v>35</v>
      </c>
      <c r="C455" s="13" t="s">
        <v>36</v>
      </c>
      <c r="D455" s="15" t="n">
        <v>1.44928</v>
      </c>
      <c r="E455" s="13" t="n">
        <v>1.00017</v>
      </c>
      <c r="F455" s="16" t="str">
        <f aca="false">IF(H455=1,"",D455/E455)</f>
        <v/>
      </c>
      <c r="G455" s="17" t="str">
        <f aca="false">IF(H455=1,"",D455/E455*Notas!$B$3)</f>
        <v/>
      </c>
      <c r="H455" s="13" t="n">
        <v>1</v>
      </c>
      <c r="I455" s="17" t="n">
        <f aca="false">IF(H455=1,D455,G455)</f>
        <v>1.44928</v>
      </c>
    </row>
    <row r="456" customFormat="false" ht="15" hidden="false" customHeight="false" outlineLevel="0" collapsed="false">
      <c r="A456" s="13" t="s">
        <v>232</v>
      </c>
      <c r="B456" s="13" t="s">
        <v>35</v>
      </c>
      <c r="C456" s="13" t="s">
        <v>37</v>
      </c>
      <c r="D456" s="15" t="n">
        <v>69</v>
      </c>
      <c r="E456" s="13" t="n">
        <v>1.00017</v>
      </c>
      <c r="F456" s="16" t="str">
        <f aca="false">IF(H456=1,"",D456/E456)</f>
        <v/>
      </c>
      <c r="G456" s="17" t="str">
        <f aca="false">IF(H456=1,"",D456/E456*Notas!$B$3)</f>
        <v/>
      </c>
      <c r="H456" s="13" t="n">
        <v>1</v>
      </c>
      <c r="I456" s="17" t="n">
        <f aca="false">IF(H456=1,D456,G456)</f>
        <v>69</v>
      </c>
    </row>
    <row r="457" customFormat="false" ht="15" hidden="false" customHeight="false" outlineLevel="0" collapsed="false">
      <c r="A457" s="13" t="s">
        <v>232</v>
      </c>
      <c r="B457" s="13" t="s">
        <v>38</v>
      </c>
      <c r="C457" s="13" t="s">
        <v>39</v>
      </c>
      <c r="D457" s="15" t="n">
        <v>0.5841</v>
      </c>
      <c r="E457" s="13" t="n">
        <v>1.00017</v>
      </c>
      <c r="F457" s="16" t="n">
        <f aca="false">IF(H457=1,"",D457/E457)</f>
        <v>0.584000719877621</v>
      </c>
      <c r="G457" s="17" t="n">
        <f aca="false">IF(H457=1,"",D457/E457*Notas!$B$3)</f>
        <v>55.480068388374</v>
      </c>
      <c r="H457" s="13" t="n">
        <v>0</v>
      </c>
      <c r="I457" s="17" t="n">
        <f aca="false">IF(H457=1,D457,G457)</f>
        <v>55.480068388374</v>
      </c>
    </row>
    <row r="458" customFormat="false" ht="15" hidden="false" customHeight="false" outlineLevel="0" collapsed="false">
      <c r="A458" s="13" t="s">
        <v>232</v>
      </c>
      <c r="B458" s="13" t="s">
        <v>38</v>
      </c>
      <c r="C458" s="13" t="s">
        <v>40</v>
      </c>
      <c r="D458" s="15" t="n">
        <v>0.27533</v>
      </c>
      <c r="E458" s="13" t="n">
        <v>1.00017</v>
      </c>
      <c r="F458" s="16" t="n">
        <f aca="false">IF(H458=1,"",D458/E458)</f>
        <v>0.275283201855685</v>
      </c>
      <c r="G458" s="17" t="n">
        <f aca="false">IF(H458=1,"",D458/E458*Notas!$B$3)</f>
        <v>26.15190417629</v>
      </c>
      <c r="H458" s="13" t="n">
        <v>0</v>
      </c>
      <c r="I458" s="17" t="n">
        <f aca="false">IF(H458=1,D458,G458)</f>
        <v>26.15190417629</v>
      </c>
    </row>
    <row r="459" customFormat="false" ht="15" hidden="false" customHeight="false" outlineLevel="0" collapsed="false">
      <c r="A459" s="13" t="s">
        <v>232</v>
      </c>
      <c r="B459" s="13" t="s">
        <v>38</v>
      </c>
      <c r="C459" s="13" t="s">
        <v>41</v>
      </c>
      <c r="D459" s="15" t="n">
        <v>0.27968</v>
      </c>
      <c r="E459" s="13" t="n">
        <v>1.00017</v>
      </c>
      <c r="F459" s="16" t="n">
        <f aca="false">IF(H459=1,"",D459/E459)</f>
        <v>0.279632462481378</v>
      </c>
      <c r="G459" s="17" t="n">
        <f aca="false">IF(H459=1,"",D459/E459*Notas!$B$3)</f>
        <v>26.5650839357309</v>
      </c>
      <c r="H459" s="13" t="n">
        <v>0</v>
      </c>
      <c r="I459" s="17" t="n">
        <f aca="false">IF(H459=1,D459,G459)</f>
        <v>26.5650839357309</v>
      </c>
    </row>
    <row r="460" customFormat="false" ht="15" hidden="false" customHeight="false" outlineLevel="0" collapsed="false">
      <c r="A460" s="13" t="s">
        <v>232</v>
      </c>
      <c r="B460" s="13" t="s">
        <v>38</v>
      </c>
      <c r="C460" s="13" t="s">
        <v>42</v>
      </c>
      <c r="D460" s="15" t="n">
        <v>-0.20477</v>
      </c>
      <c r="E460" s="13" t="n">
        <v>1.00017</v>
      </c>
      <c r="F460" s="16" t="n">
        <f aca="false">IF(H460=1,"",D460/E460)</f>
        <v>-0.204735195016847</v>
      </c>
      <c r="G460" s="17" t="n">
        <f aca="false">IF(H460=1,"",D460/E460*Notas!$B$3)</f>
        <v>-19.4498435266005</v>
      </c>
      <c r="H460" s="13" t="n">
        <v>0</v>
      </c>
      <c r="I460" s="17" t="n">
        <f aca="false">IF(H460=1,D460,G460)</f>
        <v>-19.4498435266005</v>
      </c>
    </row>
    <row r="461" customFormat="false" ht="15" hidden="false" customHeight="false" outlineLevel="0" collapsed="false">
      <c r="A461" s="13" t="s">
        <v>232</v>
      </c>
      <c r="B461" s="13" t="s">
        <v>38</v>
      </c>
      <c r="C461" s="13" t="s">
        <v>43</v>
      </c>
      <c r="D461" s="15" t="n">
        <v>0.57946</v>
      </c>
      <c r="E461" s="13" t="n">
        <v>1.00017</v>
      </c>
      <c r="F461" s="16" t="n">
        <f aca="false">IF(H461=1,"",D461/E461)</f>
        <v>0.579361508543548</v>
      </c>
      <c r="G461" s="17" t="n">
        <f aca="false">IF(H461=1,"",D461/E461*Notas!$B$3)</f>
        <v>55.039343311637</v>
      </c>
      <c r="H461" s="13" t="n">
        <v>0</v>
      </c>
      <c r="I461" s="17" t="n">
        <f aca="false">IF(H461=1,D461,G461)</f>
        <v>55.039343311637</v>
      </c>
    </row>
    <row r="462" customFormat="false" ht="15" hidden="false" customHeight="false" outlineLevel="0" collapsed="false">
      <c r="A462" s="13" t="s">
        <v>232</v>
      </c>
      <c r="B462" s="13" t="s">
        <v>38</v>
      </c>
      <c r="C462" s="13" t="s">
        <v>44</v>
      </c>
      <c r="D462" s="15" t="n">
        <v>0.24293</v>
      </c>
      <c r="E462" s="13" t="n">
        <v>1.00017</v>
      </c>
      <c r="F462" s="16" t="n">
        <f aca="false">IF(H462=1,"",D462/E462)</f>
        <v>0.242888708919484</v>
      </c>
      <c r="G462" s="17" t="n">
        <f aca="false">IF(H462=1,"",D462/E462*Notas!$B$3)</f>
        <v>23.074427347351</v>
      </c>
      <c r="H462" s="13" t="n">
        <v>0</v>
      </c>
      <c r="I462" s="17" t="n">
        <f aca="false">IF(H462=1,D462,G462)</f>
        <v>23.074427347351</v>
      </c>
    </row>
    <row r="463" customFormat="false" ht="15" hidden="false" customHeight="false" outlineLevel="0" collapsed="false">
      <c r="A463" s="13" t="s">
        <v>232</v>
      </c>
      <c r="B463" s="13" t="s">
        <v>38</v>
      </c>
      <c r="C463" s="13" t="s">
        <v>45</v>
      </c>
      <c r="D463" s="15" t="n">
        <v>0.27262</v>
      </c>
      <c r="E463" s="13" t="n">
        <v>1.00017</v>
      </c>
      <c r="F463" s="16" t="n">
        <f aca="false">IF(H463=1,"",D463/E463)</f>
        <v>0.272573662477379</v>
      </c>
      <c r="G463" s="17" t="n">
        <f aca="false">IF(H463=1,"",D463/E463*Notas!$B$3)</f>
        <v>25.894497935351</v>
      </c>
      <c r="H463" s="13" t="n">
        <v>0</v>
      </c>
      <c r="I463" s="17" t="n">
        <f aca="false">IF(H463=1,D463,G463)</f>
        <v>25.894497935351</v>
      </c>
    </row>
    <row r="464" customFormat="false" ht="15" hidden="false" customHeight="false" outlineLevel="0" collapsed="false">
      <c r="A464" s="13" t="s">
        <v>232</v>
      </c>
      <c r="B464" s="13" t="s">
        <v>38</v>
      </c>
      <c r="C464" s="13" t="s">
        <v>46</v>
      </c>
      <c r="D464" s="15" t="n">
        <v>0.17707</v>
      </c>
      <c r="E464" s="13" t="n">
        <v>1.00017</v>
      </c>
      <c r="F464" s="16" t="n">
        <f aca="false">IF(H464=1,"",D464/E464)</f>
        <v>0.177039903216453</v>
      </c>
      <c r="G464" s="17" t="n">
        <f aca="false">IF(H464=1,"",D464/E464*Notas!$B$3)</f>
        <v>16.8187908055631</v>
      </c>
      <c r="H464" s="13" t="n">
        <v>0</v>
      </c>
      <c r="I464" s="17" t="n">
        <f aca="false">IF(H464=1,D464,G464)</f>
        <v>16.8187908055631</v>
      </c>
    </row>
    <row r="465" customFormat="false" ht="15" hidden="false" customHeight="false" outlineLevel="0" collapsed="false">
      <c r="A465" s="13" t="s">
        <v>232</v>
      </c>
      <c r="B465" s="13" t="s">
        <v>38</v>
      </c>
      <c r="C465" s="13" t="s">
        <v>47</v>
      </c>
      <c r="D465" s="15" t="n">
        <v>0.2808</v>
      </c>
      <c r="E465" s="13" t="n">
        <v>1.00017</v>
      </c>
      <c r="F465" s="16" t="n">
        <f aca="false">IF(H465=1,"",D465/E465)</f>
        <v>0.280752272113741</v>
      </c>
      <c r="G465" s="17" t="n">
        <f aca="false">IF(H465=1,"",D465/E465*Notas!$B$3)</f>
        <v>26.6714658508054</v>
      </c>
      <c r="H465" s="13" t="n">
        <v>0</v>
      </c>
      <c r="I465" s="17" t="n">
        <f aca="false">IF(H465=1,D465,G465)</f>
        <v>26.6714658508054</v>
      </c>
    </row>
    <row r="466" customFormat="false" ht="15" hidden="false" customHeight="false" outlineLevel="0" collapsed="false">
      <c r="A466" s="13" t="s">
        <v>232</v>
      </c>
      <c r="B466" s="13" t="s">
        <v>38</v>
      </c>
      <c r="C466" s="13" t="s">
        <v>48</v>
      </c>
      <c r="D466" s="15" t="n">
        <v>0.64097</v>
      </c>
      <c r="E466" s="13" t="n">
        <v>1.00017</v>
      </c>
      <c r="F466" s="16" t="n">
        <f aca="false">IF(H466=1,"",D466/E466)</f>
        <v>0.640861053620885</v>
      </c>
      <c r="G466" s="17" t="n">
        <f aca="false">IF(H466=1,"",D466/E466*Notas!$B$3)</f>
        <v>60.881800093984</v>
      </c>
      <c r="H466" s="13" t="n">
        <v>0</v>
      </c>
      <c r="I466" s="17" t="n">
        <f aca="false">IF(H466=1,D466,G466)</f>
        <v>60.881800093984</v>
      </c>
    </row>
    <row r="467" customFormat="false" ht="15" hidden="false" customHeight="false" outlineLevel="0" collapsed="false">
      <c r="A467" s="13" t="s">
        <v>232</v>
      </c>
      <c r="B467" s="13" t="s">
        <v>30</v>
      </c>
      <c r="C467" s="13" t="s">
        <v>49</v>
      </c>
      <c r="D467" s="15" t="n">
        <v>0.83224</v>
      </c>
      <c r="E467" s="13" t="n">
        <v>1.00017</v>
      </c>
      <c r="F467" s="16" t="n">
        <f aca="false">IF(H467=1,"",D467/E467)</f>
        <v>0.832098543247648</v>
      </c>
      <c r="G467" s="17" t="n">
        <f aca="false">IF(H467=1,"",D467/E467*Notas!$B$3)</f>
        <v>79.0493616085266</v>
      </c>
      <c r="H467" s="13" t="n">
        <v>0</v>
      </c>
      <c r="I467" s="17" t="n">
        <f aca="false">IF(H467=1,D467,G467)</f>
        <v>79.0493616085266</v>
      </c>
    </row>
    <row r="468" customFormat="false" ht="15" hidden="false" customHeight="false" outlineLevel="0" collapsed="false">
      <c r="A468" s="13" t="s">
        <v>232</v>
      </c>
      <c r="B468" s="13" t="s">
        <v>30</v>
      </c>
      <c r="C468" s="13" t="s">
        <v>50</v>
      </c>
      <c r="D468" s="15" t="n">
        <v>0.60998</v>
      </c>
      <c r="E468" s="13" t="n">
        <v>1.00017</v>
      </c>
      <c r="F468" s="16" t="n">
        <f aca="false">IF(H468=1,"",D468/E468)</f>
        <v>0.609876321025426</v>
      </c>
      <c r="G468" s="17" t="n">
        <f aca="false">IF(H468=1,"",D468/E468*Notas!$B$3)</f>
        <v>57.9382504974154</v>
      </c>
      <c r="H468" s="13" t="n">
        <v>0</v>
      </c>
      <c r="I468" s="17" t="n">
        <f aca="false">IF(H468=1,D468,G468)</f>
        <v>57.9382504974154</v>
      </c>
    </row>
    <row r="469" customFormat="false" ht="15" hidden="false" customHeight="false" outlineLevel="0" collapsed="false">
      <c r="A469" s="13" t="s">
        <v>232</v>
      </c>
      <c r="B469" s="13" t="s">
        <v>30</v>
      </c>
      <c r="C469" s="13" t="s">
        <v>51</v>
      </c>
      <c r="D469" s="15" t="n">
        <v>2.85148</v>
      </c>
      <c r="E469" s="13" t="n">
        <v>1.00017</v>
      </c>
      <c r="F469" s="16" t="n">
        <f aca="false">IF(H469=1,"",D469/E469)</f>
        <v>2.85099533079377</v>
      </c>
      <c r="G469" s="17" t="n">
        <f aca="false">IF(H469=1,"",D469/E469*Notas!$B$3)</f>
        <v>270.844556425408</v>
      </c>
      <c r="H469" s="13" t="n">
        <v>0</v>
      </c>
      <c r="I469" s="17" t="n">
        <f aca="false">IF(H469=1,D469,G469)</f>
        <v>270.844556425408</v>
      </c>
    </row>
    <row r="470" customFormat="false" ht="15" hidden="false" customHeight="false" outlineLevel="0" collapsed="false">
      <c r="A470" s="13" t="s">
        <v>232</v>
      </c>
      <c r="B470" s="13" t="s">
        <v>30</v>
      </c>
      <c r="C470" s="13" t="s">
        <v>52</v>
      </c>
      <c r="D470" s="15" t="n">
        <v>0.89052</v>
      </c>
      <c r="E470" s="13" t="n">
        <v>1.00017</v>
      </c>
      <c r="F470" s="16" t="n">
        <f aca="false">IF(H470=1,"",D470/E470)</f>
        <v>0.890368637331654</v>
      </c>
      <c r="G470" s="17" t="n">
        <f aca="false">IF(H470=1,"",D470/E470*Notas!$B$3)</f>
        <v>84.5850205465071</v>
      </c>
      <c r="H470" s="13" t="n">
        <v>0</v>
      </c>
      <c r="I470" s="17" t="n">
        <f aca="false">IF(H470=1,D470,G470)</f>
        <v>84.5850205465071</v>
      </c>
    </row>
    <row r="471" customFormat="false" ht="15" hidden="false" customHeight="false" outlineLevel="0" collapsed="false">
      <c r="A471" s="13" t="s">
        <v>232</v>
      </c>
      <c r="B471" s="13" t="s">
        <v>30</v>
      </c>
      <c r="C471" s="13" t="s">
        <v>53</v>
      </c>
      <c r="D471" s="15" t="n">
        <v>0.74261</v>
      </c>
      <c r="E471" s="13" t="n">
        <v>1.00017</v>
      </c>
      <c r="F471" s="16" t="n">
        <f aca="false">IF(H471=1,"",D471/E471)</f>
        <v>0.742483777757781</v>
      </c>
      <c r="G471" s="17" t="n">
        <f aca="false">IF(H471=1,"",D471/E471*Notas!$B$3)</f>
        <v>70.5359588869892</v>
      </c>
      <c r="H471" s="13" t="n">
        <v>0</v>
      </c>
      <c r="I471" s="17" t="n">
        <f aca="false">IF(H471=1,D471,G471)</f>
        <v>70.5359588869892</v>
      </c>
    </row>
    <row r="472" customFormat="false" ht="15" hidden="false" customHeight="false" outlineLevel="0" collapsed="false">
      <c r="A472" s="13" t="s">
        <v>232</v>
      </c>
      <c r="B472" s="13" t="s">
        <v>30</v>
      </c>
      <c r="C472" s="13" t="s">
        <v>54</v>
      </c>
      <c r="D472" s="15" t="n">
        <v>3.37898</v>
      </c>
      <c r="E472" s="13" t="n">
        <v>1.00017</v>
      </c>
      <c r="F472" s="16" t="n">
        <f aca="false">IF(H472=1,"",D472/E472)</f>
        <v>3.37840567103592</v>
      </c>
      <c r="G472" s="17" t="n">
        <f aca="false">IF(H472=1,"",D472/E472*Notas!$B$3)</f>
        <v>320.948538748413</v>
      </c>
      <c r="H472" s="13" t="n">
        <v>0</v>
      </c>
      <c r="I472" s="17" t="n">
        <f aca="false">IF(H472=1,D472,G472)</f>
        <v>320.948538748413</v>
      </c>
    </row>
    <row r="473" customFormat="false" ht="15" hidden="false" customHeight="false" outlineLevel="0" collapsed="false">
      <c r="A473" s="13" t="s">
        <v>232</v>
      </c>
      <c r="B473" s="13" t="s">
        <v>30</v>
      </c>
      <c r="C473" s="13" t="s">
        <v>55</v>
      </c>
      <c r="D473" s="15" t="n">
        <v>0.8223</v>
      </c>
      <c r="E473" s="13" t="n">
        <v>1.00017</v>
      </c>
      <c r="F473" s="16" t="n">
        <f aca="false">IF(H473=1,"",D473/E473)</f>
        <v>0.822160232760431</v>
      </c>
      <c r="G473" s="17" t="n">
        <f aca="false">IF(H473=1,"",D473/E473*Notas!$B$3)</f>
        <v>78.1052221122409</v>
      </c>
      <c r="H473" s="13" t="n">
        <v>0</v>
      </c>
      <c r="I473" s="17" t="n">
        <f aca="false">IF(H473=1,D473,G473)</f>
        <v>78.1052221122409</v>
      </c>
    </row>
    <row r="474" customFormat="false" ht="15" hidden="false" customHeight="false" outlineLevel="0" collapsed="false">
      <c r="A474" s="13" t="s">
        <v>232</v>
      </c>
      <c r="B474" s="13" t="s">
        <v>30</v>
      </c>
      <c r="C474" s="13" t="s">
        <v>56</v>
      </c>
      <c r="D474" s="15" t="n">
        <v>0.63614</v>
      </c>
      <c r="E474" s="13" t="n">
        <v>1.00017</v>
      </c>
      <c r="F474" s="16" t="n">
        <f aca="false">IF(H474=1,"",D474/E474)</f>
        <v>0.636031874581321</v>
      </c>
      <c r="G474" s="17" t="n">
        <f aca="false">IF(H474=1,"",D474/E474*Notas!$B$3)</f>
        <v>60.4230280852255</v>
      </c>
      <c r="H474" s="13" t="n">
        <v>0</v>
      </c>
      <c r="I474" s="17" t="n">
        <f aca="false">IF(H474=1,D474,G474)</f>
        <v>60.4230280852255</v>
      </c>
    </row>
    <row r="475" customFormat="false" ht="15" hidden="false" customHeight="false" outlineLevel="0" collapsed="false">
      <c r="A475" s="13" t="s">
        <v>232</v>
      </c>
      <c r="B475" s="13" t="s">
        <v>30</v>
      </c>
      <c r="C475" s="13" t="s">
        <v>57</v>
      </c>
      <c r="D475" s="15" t="n">
        <v>2.85758</v>
      </c>
      <c r="E475" s="13" t="n">
        <v>1.00017</v>
      </c>
      <c r="F475" s="16" t="n">
        <f aca="false">IF(H475=1,"",D475/E475)</f>
        <v>2.85709429397003</v>
      </c>
      <c r="G475" s="17" t="n">
        <f aca="false">IF(H475=1,"",D475/E475*Notas!$B$3)</f>
        <v>271.423957927152</v>
      </c>
      <c r="H475" s="13" t="n">
        <v>0</v>
      </c>
      <c r="I475" s="17" t="n">
        <f aca="false">IF(H475=1,D475,G475)</f>
        <v>271.423957927152</v>
      </c>
    </row>
    <row r="476" customFormat="false" ht="15" hidden="false" customHeight="false" outlineLevel="0" collapsed="false">
      <c r="A476" s="13" t="s">
        <v>232</v>
      </c>
      <c r="B476" s="13" t="s">
        <v>58</v>
      </c>
      <c r="C476" s="13" t="s">
        <v>59</v>
      </c>
      <c r="D476" s="15" t="n">
        <v>0.57456</v>
      </c>
      <c r="E476" s="13" t="n">
        <v>1.00017</v>
      </c>
      <c r="F476" s="16" t="n">
        <f aca="false">IF(H476=1,"",D476/E476)</f>
        <v>0.574462341401962</v>
      </c>
      <c r="G476" s="17" t="n">
        <f aca="false">IF(H476=1,"",D476/E476*Notas!$B$3)</f>
        <v>54.5739224331864</v>
      </c>
      <c r="H476" s="13" t="n">
        <v>0</v>
      </c>
      <c r="I476" s="17" t="n">
        <f aca="false">IF(H476=1,D476,G476)</f>
        <v>54.5739224331864</v>
      </c>
    </row>
    <row r="477" customFormat="false" ht="15" hidden="false" customHeight="false" outlineLevel="0" collapsed="false">
      <c r="A477" s="13" t="s">
        <v>232</v>
      </c>
      <c r="B477" s="13" t="s">
        <v>58</v>
      </c>
      <c r="C477" s="13" t="s">
        <v>60</v>
      </c>
      <c r="D477" s="15" t="n">
        <v>0.48211</v>
      </c>
      <c r="E477" s="13" t="n">
        <v>1.00017</v>
      </c>
      <c r="F477" s="16" t="n">
        <f aca="false">IF(H477=1,"",D477/E477)</f>
        <v>0.482028055230611</v>
      </c>
      <c r="G477" s="17" t="n">
        <f aca="false">IF(H477=1,"",D477/E477*Notas!$B$3)</f>
        <v>45.792665246908</v>
      </c>
      <c r="H477" s="13" t="n">
        <v>0</v>
      </c>
      <c r="I477" s="17" t="n">
        <f aca="false">IF(H477=1,D477,G477)</f>
        <v>45.792665246908</v>
      </c>
    </row>
    <row r="478" customFormat="false" ht="15" hidden="false" customHeight="false" outlineLevel="0" collapsed="false">
      <c r="A478" s="13" t="s">
        <v>232</v>
      </c>
      <c r="B478" s="13" t="s">
        <v>58</v>
      </c>
      <c r="C478" s="13" t="s">
        <v>61</v>
      </c>
      <c r="D478" s="15" t="n">
        <v>0.56619</v>
      </c>
      <c r="E478" s="13" t="n">
        <v>1.00017</v>
      </c>
      <c r="F478" s="16" t="n">
        <f aca="false">IF(H478=1,"",D478/E478)</f>
        <v>0.56609376406011</v>
      </c>
      <c r="G478" s="17" t="n">
        <f aca="false">IF(H478=1,"",D478/E478*Notas!$B$3)</f>
        <v>53.7789075857104</v>
      </c>
      <c r="H478" s="13" t="n">
        <v>0</v>
      </c>
      <c r="I478" s="17" t="n">
        <f aca="false">IF(H478=1,D478,G478)</f>
        <v>53.7789075857104</v>
      </c>
    </row>
    <row r="479" customFormat="false" ht="15" hidden="false" customHeight="false" outlineLevel="0" collapsed="false">
      <c r="A479" s="13" t="s">
        <v>232</v>
      </c>
      <c r="B479" s="13" t="s">
        <v>58</v>
      </c>
      <c r="C479" s="13" t="s">
        <v>62</v>
      </c>
      <c r="D479" s="15" t="n">
        <v>0.45299</v>
      </c>
      <c r="E479" s="13" t="n">
        <v>1.00017</v>
      </c>
      <c r="F479" s="16" t="n">
        <f aca="false">IF(H479=1,"",D479/E479)</f>
        <v>0.452913004789186</v>
      </c>
      <c r="G479" s="17" t="n">
        <f aca="false">IF(H479=1,"",D479/E479*Notas!$B$3)</f>
        <v>43.0267354549727</v>
      </c>
      <c r="H479" s="13" t="n">
        <v>0</v>
      </c>
      <c r="I479" s="17" t="n">
        <f aca="false">IF(H479=1,D479,G479)</f>
        <v>43.0267354549727</v>
      </c>
    </row>
    <row r="480" customFormat="false" ht="15" hidden="false" customHeight="false" outlineLevel="0" collapsed="false">
      <c r="A480" s="13" t="s">
        <v>232</v>
      </c>
      <c r="B480" s="13" t="s">
        <v>63</v>
      </c>
      <c r="C480" s="13" t="s">
        <v>64</v>
      </c>
      <c r="D480" s="15" t="n">
        <v>0.323</v>
      </c>
      <c r="E480" s="13" t="n">
        <v>1.00017</v>
      </c>
      <c r="F480" s="16" t="n">
        <f aca="false">IF(H480=1,"",D480/E480)</f>
        <v>0.322945099333113</v>
      </c>
      <c r="G480" s="17" t="n">
        <f aca="false">IF(H480=1,"",D480/E480*Notas!$B$3)</f>
        <v>30.6797844366458</v>
      </c>
      <c r="H480" s="13" t="n">
        <v>0</v>
      </c>
      <c r="I480" s="17" t="n">
        <f aca="false">IF(H480=1,D480,G480)</f>
        <v>30.6797844366458</v>
      </c>
    </row>
    <row r="481" customFormat="false" ht="15" hidden="false" customHeight="false" outlineLevel="0" collapsed="false">
      <c r="A481" s="13" t="s">
        <v>232</v>
      </c>
      <c r="B481" s="13" t="s">
        <v>63</v>
      </c>
      <c r="C481" s="13" t="s">
        <v>67</v>
      </c>
      <c r="D481" s="15" t="n">
        <v>0.33112</v>
      </c>
      <c r="E481" s="13" t="n">
        <v>1.00017</v>
      </c>
      <c r="F481" s="16" t="n">
        <f aca="false">IF(H481=1,"",D481/E481)</f>
        <v>0.331063719167742</v>
      </c>
      <c r="G481" s="17" t="n">
        <f aca="false">IF(H481=1,"",D481/E481*Notas!$B$3)</f>
        <v>31.4510533209354</v>
      </c>
      <c r="H481" s="13" t="n">
        <v>0</v>
      </c>
      <c r="I481" s="17" t="n">
        <f aca="false">IF(H481=1,D481,G481)</f>
        <v>31.4510533209354</v>
      </c>
    </row>
    <row r="482" customFormat="false" ht="15" hidden="false" customHeight="false" outlineLevel="0" collapsed="false">
      <c r="A482" s="13" t="s">
        <v>232</v>
      </c>
      <c r="B482" s="13" t="s">
        <v>63</v>
      </c>
      <c r="C482" s="13" t="s">
        <v>68</v>
      </c>
      <c r="D482" s="15" t="n">
        <v>0.20892</v>
      </c>
      <c r="E482" s="13" t="n">
        <v>1.00017</v>
      </c>
      <c r="F482" s="16" t="n">
        <f aca="false">IF(H482=1,"",D482/E482)</f>
        <v>0.208884489636762</v>
      </c>
      <c r="G482" s="17" t="n">
        <f aca="false">IF(H482=1,"",D482/E482*Notas!$B$3)</f>
        <v>19.8440265154924</v>
      </c>
      <c r="H482" s="13" t="n">
        <v>0</v>
      </c>
      <c r="I482" s="17" t="n">
        <f aca="false">IF(H482=1,D482,G482)</f>
        <v>19.8440265154924</v>
      </c>
    </row>
    <row r="483" customFormat="false" ht="15" hidden="false" customHeight="false" outlineLevel="0" collapsed="false">
      <c r="A483" s="13" t="s">
        <v>232</v>
      </c>
      <c r="B483" s="13" t="s">
        <v>69</v>
      </c>
      <c r="C483" s="13" t="s">
        <v>70</v>
      </c>
      <c r="D483" s="15" t="n">
        <v>0.31429</v>
      </c>
      <c r="E483" s="13" t="n">
        <v>1.00017</v>
      </c>
      <c r="F483" s="16" t="n">
        <f aca="false">IF(H483=1,"",D483/E483)</f>
        <v>0.314236579781437</v>
      </c>
      <c r="G483" s="17" t="n">
        <f aca="false">IF(H483=1,"",D483/E483*Notas!$B$3)</f>
        <v>29.8524750792365</v>
      </c>
      <c r="H483" s="13" t="n">
        <v>0</v>
      </c>
      <c r="I483" s="17" t="n">
        <f aca="false">IF(H483=1,D483,G483)</f>
        <v>29.8524750792365</v>
      </c>
    </row>
    <row r="484" customFormat="false" ht="15" hidden="false" customHeight="false" outlineLevel="0" collapsed="false">
      <c r="A484" s="13" t="s">
        <v>232</v>
      </c>
      <c r="B484" s="13" t="s">
        <v>69</v>
      </c>
      <c r="C484" s="13" t="s">
        <v>71</v>
      </c>
      <c r="D484" s="15" t="n">
        <v>0.20629</v>
      </c>
      <c r="E484" s="13" t="n">
        <v>1.00017</v>
      </c>
      <c r="F484" s="16" t="n">
        <f aca="false">IF(H484=1,"",D484/E484)</f>
        <v>0.206254936660768</v>
      </c>
      <c r="G484" s="17" t="n">
        <f aca="false">IF(H484=1,"",D484/E484*Notas!$B$3)</f>
        <v>19.5942189827729</v>
      </c>
      <c r="H484" s="13" t="n">
        <v>0</v>
      </c>
      <c r="I484" s="17" t="n">
        <f aca="false">IF(H484=1,D484,G484)</f>
        <v>19.5942189827729</v>
      </c>
    </row>
    <row r="485" customFormat="false" ht="15" hidden="false" customHeight="false" outlineLevel="0" collapsed="false">
      <c r="A485" s="13" t="s">
        <v>232</v>
      </c>
      <c r="B485" s="13" t="s">
        <v>69</v>
      </c>
      <c r="C485" s="13" t="s">
        <v>72</v>
      </c>
      <c r="D485" s="15" t="n">
        <v>0.108</v>
      </c>
      <c r="E485" s="13" t="n">
        <v>1.00017</v>
      </c>
      <c r="F485" s="16" t="n">
        <f aca="false">IF(H485=1,"",D485/E485)</f>
        <v>0.107981643120669</v>
      </c>
      <c r="G485" s="17" t="n">
        <f aca="false">IF(H485=1,"",D485/E485*Notas!$B$3)</f>
        <v>10.2582560964636</v>
      </c>
      <c r="H485" s="13" t="n">
        <v>0</v>
      </c>
      <c r="I485" s="17" t="n">
        <f aca="false">IF(H485=1,D485,G485)</f>
        <v>10.2582560964636</v>
      </c>
    </row>
    <row r="486" customFormat="false" ht="15" hidden="false" customHeight="false" outlineLevel="0" collapsed="false">
      <c r="A486" s="13" t="s">
        <v>232</v>
      </c>
      <c r="B486" s="13" t="s">
        <v>69</v>
      </c>
      <c r="C486" s="13" t="s">
        <v>73</v>
      </c>
      <c r="D486" s="15" t="n">
        <v>0.08771</v>
      </c>
      <c r="E486" s="13" t="n">
        <v>1.00017</v>
      </c>
      <c r="F486" s="16" t="n">
        <f aca="false">IF(H486=1,"",D486/E486)</f>
        <v>0.0876950918343881</v>
      </c>
      <c r="G486" s="17" t="n">
        <f aca="false">IF(H486=1,"",D486/E486*Notas!$B$3)</f>
        <v>8.33103372426687</v>
      </c>
      <c r="H486" s="13" t="n">
        <v>0</v>
      </c>
      <c r="I486" s="17" t="n">
        <f aca="false">IF(H486=1,D486,G486)</f>
        <v>8.33103372426687</v>
      </c>
    </row>
    <row r="487" customFormat="false" ht="15" hidden="false" customHeight="false" outlineLevel="0" collapsed="false">
      <c r="A487" s="13" t="s">
        <v>232</v>
      </c>
      <c r="B487" s="13" t="s">
        <v>69</v>
      </c>
      <c r="C487" s="13" t="s">
        <v>74</v>
      </c>
      <c r="D487" s="15" t="n">
        <v>0.00878</v>
      </c>
      <c r="E487" s="13" t="n">
        <v>1.00017</v>
      </c>
      <c r="F487" s="16" t="n">
        <f aca="false">IF(H487=1,"",D487/E487)</f>
        <v>0.00877850765369887</v>
      </c>
      <c r="G487" s="17" t="n">
        <f aca="false">IF(H487=1,"",D487/E487*Notas!$B$3)</f>
        <v>0.833958227101393</v>
      </c>
      <c r="H487" s="13" t="n">
        <v>0</v>
      </c>
      <c r="I487" s="17" t="n">
        <f aca="false">IF(H487=1,D487,G487)</f>
        <v>0.833958227101393</v>
      </c>
    </row>
    <row r="488" customFormat="false" ht="15" hidden="false" customHeight="false" outlineLevel="0" collapsed="false">
      <c r="A488" s="13" t="s">
        <v>232</v>
      </c>
      <c r="B488" s="13" t="s">
        <v>102</v>
      </c>
      <c r="C488" s="13" t="s">
        <v>103</v>
      </c>
      <c r="D488" s="15" t="n">
        <v>0.20686</v>
      </c>
      <c r="E488" s="13" t="n">
        <v>1.00017</v>
      </c>
      <c r="F488" s="16" t="n">
        <f aca="false">IF(H488=1,"",D488/E488)</f>
        <v>0.206824839777238</v>
      </c>
      <c r="G488" s="17" t="n">
        <f aca="false">IF(H488=1,"",D488/E488*Notas!$B$3)</f>
        <v>19.6483597788376</v>
      </c>
      <c r="H488" s="13" t="n">
        <v>0</v>
      </c>
      <c r="I488" s="17" t="n">
        <f aca="false">IF(H488=1,D488,G488)</f>
        <v>19.6483597788376</v>
      </c>
    </row>
    <row r="489" customFormat="false" ht="15" hidden="false" customHeight="false" outlineLevel="0" collapsed="false">
      <c r="A489" s="13" t="s">
        <v>232</v>
      </c>
      <c r="B489" s="13" t="s">
        <v>102</v>
      </c>
      <c r="C489" s="13" t="s">
        <v>104</v>
      </c>
      <c r="D489" s="15" t="n">
        <v>0.18515</v>
      </c>
      <c r="E489" s="13" t="n">
        <v>1.00017</v>
      </c>
      <c r="F489" s="16" t="n">
        <f aca="false">IF(H489=1,"",D489/E489)</f>
        <v>0.185118529849926</v>
      </c>
      <c r="G489" s="17" t="n">
        <f aca="false">IF(H489=1,"",D489/E489*Notas!$B$3)</f>
        <v>17.5862603357429</v>
      </c>
      <c r="H489" s="13" t="n">
        <v>0</v>
      </c>
      <c r="I489" s="17" t="n">
        <f aca="false">IF(H489=1,D489,G489)</f>
        <v>17.5862603357429</v>
      </c>
    </row>
    <row r="490" customFormat="false" ht="15" hidden="false" customHeight="false" outlineLevel="0" collapsed="false">
      <c r="A490" s="13" t="s">
        <v>232</v>
      </c>
      <c r="B490" s="13" t="s">
        <v>102</v>
      </c>
      <c r="C490" s="13" t="s">
        <v>105</v>
      </c>
      <c r="D490" s="15" t="n">
        <v>0.23047</v>
      </c>
      <c r="E490" s="13" t="n">
        <v>1.00017</v>
      </c>
      <c r="F490" s="16" t="n">
        <f aca="false">IF(H490=1,"",D490/E490)</f>
        <v>0.230430826759451</v>
      </c>
      <c r="G490" s="17" t="n">
        <f aca="false">IF(H490=1,"",D490/E490*Notas!$B$3)</f>
        <v>21.8909285421478</v>
      </c>
      <c r="H490" s="13" t="n">
        <v>0</v>
      </c>
      <c r="I490" s="17" t="n">
        <f aca="false">IF(H490=1,D490,G490)</f>
        <v>21.8909285421478</v>
      </c>
    </row>
    <row r="491" customFormat="false" ht="15" hidden="false" customHeight="false" outlineLevel="0" collapsed="false">
      <c r="A491" s="13" t="s">
        <v>232</v>
      </c>
      <c r="B491" s="13" t="s">
        <v>102</v>
      </c>
      <c r="C491" s="13" t="s">
        <v>106</v>
      </c>
      <c r="D491" s="15" t="n">
        <v>-0.03715</v>
      </c>
      <c r="E491" s="13" t="n">
        <v>1.00017</v>
      </c>
      <c r="F491" s="16" t="n">
        <f aca="false">IF(H491=1,"",D491/E491)</f>
        <v>-0.0371436855734525</v>
      </c>
      <c r="G491" s="17" t="n">
        <f aca="false">IF(H491=1,"",D491/E491*Notas!$B$3)</f>
        <v>-3.52865012947799</v>
      </c>
      <c r="H491" s="13" t="n">
        <v>0</v>
      </c>
      <c r="I491" s="17" t="n">
        <f aca="false">IF(H491=1,D491,G491)</f>
        <v>-3.52865012947799</v>
      </c>
    </row>
    <row r="492" customFormat="false" ht="15" hidden="false" customHeight="false" outlineLevel="0" collapsed="false">
      <c r="A492" s="13" t="s">
        <v>232</v>
      </c>
      <c r="B492" s="13" t="s">
        <v>102</v>
      </c>
      <c r="C492" s="13" t="s">
        <v>107</v>
      </c>
      <c r="D492" s="15" t="n">
        <v>0.20551</v>
      </c>
      <c r="E492" s="13" t="n">
        <v>1.00017</v>
      </c>
      <c r="F492" s="16" t="n">
        <f aca="false">IF(H492=1,"",D492/E492)</f>
        <v>0.20547506923823</v>
      </c>
      <c r="G492" s="17" t="n">
        <f aca="false">IF(H492=1,"",D492/E492*Notas!$B$3)</f>
        <v>19.5201315776318</v>
      </c>
      <c r="H492" s="13" t="n">
        <v>0</v>
      </c>
      <c r="I492" s="17" t="n">
        <f aca="false">IF(H492=1,D492,G492)</f>
        <v>19.5201315776318</v>
      </c>
    </row>
    <row r="493" customFormat="false" ht="15" hidden="false" customHeight="false" outlineLevel="0" collapsed="false">
      <c r="A493" s="13" t="s">
        <v>232</v>
      </c>
      <c r="B493" s="13" t="s">
        <v>102</v>
      </c>
      <c r="C493" s="13" t="s">
        <v>108</v>
      </c>
      <c r="D493" s="15" t="n">
        <v>0.1513</v>
      </c>
      <c r="E493" s="13" t="n">
        <v>1.00017</v>
      </c>
      <c r="F493" s="16" t="n">
        <f aca="false">IF(H493=1,"",D493/E493)</f>
        <v>0.151274283371827</v>
      </c>
      <c r="G493" s="17" t="n">
        <f aca="false">IF(H493=1,"",D493/E493*Notas!$B$3)</f>
        <v>14.3710569203235</v>
      </c>
      <c r="H493" s="13" t="n">
        <v>0</v>
      </c>
      <c r="I493" s="17" t="n">
        <f aca="false">IF(H493=1,D493,G493)</f>
        <v>14.3710569203235</v>
      </c>
    </row>
    <row r="494" customFormat="false" ht="15" hidden="false" customHeight="false" outlineLevel="0" collapsed="false">
      <c r="A494" s="13" t="s">
        <v>232</v>
      </c>
      <c r="B494" s="13" t="s">
        <v>102</v>
      </c>
      <c r="C494" s="13" t="s">
        <v>109</v>
      </c>
      <c r="D494" s="15" t="n">
        <v>0.2253</v>
      </c>
      <c r="E494" s="13" t="n">
        <v>1.00017</v>
      </c>
      <c r="F494" s="16" t="n">
        <f aca="false">IF(H494=1,"",D494/E494)</f>
        <v>0.225261705510063</v>
      </c>
      <c r="G494" s="17" t="n">
        <f aca="false">IF(H494=1,"",D494/E494*Notas!$B$3)</f>
        <v>21.399862023456</v>
      </c>
      <c r="H494" s="13" t="n">
        <v>0</v>
      </c>
      <c r="I494" s="17" t="n">
        <f aca="false">IF(H494=1,D494,G494)</f>
        <v>21.399862023456</v>
      </c>
    </row>
    <row r="495" customFormat="false" ht="15" hidden="false" customHeight="false" outlineLevel="0" collapsed="false">
      <c r="A495" s="13" t="s">
        <v>232</v>
      </c>
      <c r="B495" s="13" t="s">
        <v>102</v>
      </c>
      <c r="C495" s="13" t="s">
        <v>110</v>
      </c>
      <c r="D495" s="15" t="n">
        <v>0.03681</v>
      </c>
      <c r="E495" s="13" t="n">
        <v>1.00017</v>
      </c>
      <c r="F495" s="16" t="n">
        <f aca="false">IF(H495=1,"",D495/E495)</f>
        <v>0.0368037433636282</v>
      </c>
      <c r="G495" s="17" t="n">
        <f aca="false">IF(H495=1,"",D495/E495*Notas!$B$3)</f>
        <v>3.49635561954468</v>
      </c>
      <c r="H495" s="13" t="n">
        <v>0</v>
      </c>
      <c r="I495" s="17" t="n">
        <f aca="false">IF(H495=1,D495,G495)</f>
        <v>3.49635561954468</v>
      </c>
    </row>
    <row r="496" customFormat="false" ht="15" hidden="false" customHeight="false" outlineLevel="0" collapsed="false">
      <c r="A496" s="13" t="s">
        <v>232</v>
      </c>
      <c r="B496" s="13" t="s">
        <v>102</v>
      </c>
      <c r="C496" s="13" t="s">
        <v>111</v>
      </c>
      <c r="D496" s="15" t="n">
        <v>0.24218</v>
      </c>
      <c r="E496" s="13" t="n">
        <v>1.00017</v>
      </c>
      <c r="F496" s="16" t="n">
        <f aca="false">IF(H496=1,"",D496/E496)</f>
        <v>0.242138836397812</v>
      </c>
      <c r="G496" s="17" t="n">
        <f aca="false">IF(H496=1,"",D496/E496*Notas!$B$3)</f>
        <v>23.0031894577922</v>
      </c>
      <c r="H496" s="13" t="n">
        <v>0</v>
      </c>
      <c r="I496" s="17" t="n">
        <f aca="false">IF(H496=1,D496,G496)</f>
        <v>23.0031894577922</v>
      </c>
    </row>
    <row r="497" customFormat="false" ht="15" hidden="false" customHeight="false" outlineLevel="0" collapsed="false">
      <c r="A497" s="13" t="s">
        <v>232</v>
      </c>
      <c r="B497" s="13" t="s">
        <v>102</v>
      </c>
      <c r="C497" s="13" t="s">
        <v>112</v>
      </c>
      <c r="D497" s="15" t="n">
        <v>0.23047</v>
      </c>
      <c r="E497" s="13" t="n">
        <v>1.00017</v>
      </c>
      <c r="F497" s="16" t="n">
        <f aca="false">IF(H497=1,"",D497/E497)</f>
        <v>0.230430826759451</v>
      </c>
      <c r="G497" s="17" t="n">
        <f aca="false">IF(H497=1,"",D497/E497*Notas!$B$3)</f>
        <v>21.8909285421478</v>
      </c>
      <c r="H497" s="13" t="n">
        <v>0</v>
      </c>
      <c r="I497" s="17" t="n">
        <f aca="false">IF(H497=1,D497,G497)</f>
        <v>21.8909285421478</v>
      </c>
    </row>
    <row r="498" customFormat="false" ht="15" hidden="false" customHeight="false" outlineLevel="0" collapsed="false">
      <c r="A498" s="13" t="s">
        <v>232</v>
      </c>
      <c r="B498" s="13" t="s">
        <v>17</v>
      </c>
      <c r="C498" s="13" t="s">
        <v>113</v>
      </c>
      <c r="D498" s="15" t="n">
        <v>0</v>
      </c>
      <c r="E498" s="13" t="n">
        <v>1.00017</v>
      </c>
      <c r="F498" s="16" t="str">
        <f aca="false">IF(H498=1,"",D498/E498)</f>
        <v/>
      </c>
      <c r="G498" s="17" t="str">
        <f aca="false">IF(H498=1,"",D498/E498*Notas!$B$3)</f>
        <v/>
      </c>
      <c r="H498" s="13" t="n">
        <v>1</v>
      </c>
      <c r="I498" s="17" t="n">
        <f aca="false">IF(H498=1,D498,G498)</f>
        <v>0</v>
      </c>
    </row>
    <row r="499" customFormat="false" ht="15" hidden="false" customHeight="false" outlineLevel="0" collapsed="false">
      <c r="A499" s="13" t="s">
        <v>232</v>
      </c>
      <c r="B499" s="13" t="s">
        <v>114</v>
      </c>
      <c r="C499" s="13" t="s">
        <v>121</v>
      </c>
      <c r="D499" s="15" t="n">
        <v>0.35006</v>
      </c>
      <c r="E499" s="13" t="n">
        <v>1.00017</v>
      </c>
      <c r="F499" s="16" t="n">
        <f aca="false">IF(H499=1,"",D499/E499)</f>
        <v>0.350000499915014</v>
      </c>
      <c r="G499" s="17" t="n">
        <f aca="false">IF(H499=1,"",D499/E499*Notas!$B$3)</f>
        <v>33.2500474919264</v>
      </c>
      <c r="H499" s="13" t="n">
        <v>0</v>
      </c>
      <c r="I499" s="17" t="n">
        <f aca="false">IF(H499=1,D499,G499)</f>
        <v>33.2500474919264</v>
      </c>
    </row>
    <row r="500" customFormat="false" ht="15" hidden="false" customHeight="false" outlineLevel="0" collapsed="false">
      <c r="A500" s="13" t="s">
        <v>232</v>
      </c>
      <c r="B500" s="13" t="s">
        <v>114</v>
      </c>
      <c r="C500" s="13" t="s">
        <v>122</v>
      </c>
      <c r="D500" s="15" t="n">
        <v>0.43291</v>
      </c>
      <c r="E500" s="13" t="n">
        <v>1.00017</v>
      </c>
      <c r="F500" s="16" t="n">
        <f aca="false">IF(H500=1,"",D500/E500)</f>
        <v>0.432836417808973</v>
      </c>
      <c r="G500" s="17" t="n">
        <f aca="false">IF(H500=1,"",D500/E500*Notas!$B$3)</f>
        <v>41.1194596918524</v>
      </c>
      <c r="H500" s="13" t="n">
        <v>0</v>
      </c>
      <c r="I500" s="17" t="n">
        <f aca="false">IF(H500=1,D500,G500)</f>
        <v>41.1194596918524</v>
      </c>
    </row>
    <row r="501" customFormat="false" ht="15" hidden="false" customHeight="false" outlineLevel="0" collapsed="false">
      <c r="A501" s="13" t="s">
        <v>232</v>
      </c>
      <c r="B501" s="13" t="s">
        <v>114</v>
      </c>
      <c r="C501" s="13" t="s">
        <v>123</v>
      </c>
      <c r="D501" s="15" t="n">
        <v>0.31175</v>
      </c>
      <c r="E501" s="13" t="n">
        <v>1.00017</v>
      </c>
      <c r="F501" s="16" t="n">
        <f aca="false">IF(H501=1,"",D501/E501)</f>
        <v>0.311697011508044</v>
      </c>
      <c r="G501" s="17" t="n">
        <f aca="false">IF(H501=1,"",D501/E501*Notas!$B$3)</f>
        <v>29.6112160932641</v>
      </c>
      <c r="H501" s="13" t="n">
        <v>0</v>
      </c>
      <c r="I501" s="17" t="n">
        <f aca="false">IF(H501=1,D501,G501)</f>
        <v>29.6112160932641</v>
      </c>
    </row>
    <row r="502" customFormat="false" ht="15" hidden="false" customHeight="false" outlineLevel="0" collapsed="false">
      <c r="A502" s="13" t="s">
        <v>232</v>
      </c>
      <c r="B502" s="13" t="s">
        <v>114</v>
      </c>
      <c r="C502" s="13" t="s">
        <v>124</v>
      </c>
      <c r="D502" s="15" t="n">
        <v>2.09236</v>
      </c>
      <c r="E502" s="13" t="n">
        <v>1.00017</v>
      </c>
      <c r="F502" s="16" t="n">
        <f aca="false">IF(H502=1,"",D502/E502)</f>
        <v>2.09200435925893</v>
      </c>
      <c r="G502" s="17" t="n">
        <f aca="false">IF(H502=1,"",D502/E502*Notas!$B$3)</f>
        <v>198.740414129598</v>
      </c>
      <c r="H502" s="13" t="n">
        <v>0</v>
      </c>
      <c r="I502" s="17" t="n">
        <f aca="false">IF(H502=1,D502,G502)</f>
        <v>198.740414129598</v>
      </c>
    </row>
    <row r="503" customFormat="false" ht="15" hidden="false" customHeight="false" outlineLevel="0" collapsed="false">
      <c r="A503" s="13" t="s">
        <v>232</v>
      </c>
      <c r="B503" s="13" t="s">
        <v>114</v>
      </c>
      <c r="C503" s="13" t="s">
        <v>125</v>
      </c>
      <c r="D503" s="15" t="n">
        <v>0.55747</v>
      </c>
      <c r="E503" s="13" t="n">
        <v>1.00017</v>
      </c>
      <c r="F503" s="16" t="n">
        <f aca="false">IF(H503=1,"",D503/E503)</f>
        <v>0.557375246208145</v>
      </c>
      <c r="G503" s="17" t="n">
        <f aca="false">IF(H503=1,"",D503/E503*Notas!$B$3)</f>
        <v>52.9506483897737</v>
      </c>
      <c r="H503" s="13" t="n">
        <v>0</v>
      </c>
      <c r="I503" s="17" t="n">
        <f aca="false">IF(H503=1,D503,G503)</f>
        <v>52.9506483897737</v>
      </c>
    </row>
    <row r="504" customFormat="false" ht="15" hidden="false" customHeight="false" outlineLevel="0" collapsed="false">
      <c r="A504" s="13" t="s">
        <v>232</v>
      </c>
      <c r="B504" s="13" t="s">
        <v>114</v>
      </c>
      <c r="C504" s="13" t="s">
        <v>126</v>
      </c>
      <c r="D504" s="15" t="n">
        <v>3</v>
      </c>
      <c r="E504" s="13" t="n">
        <v>1.00017</v>
      </c>
      <c r="F504" s="16" t="str">
        <f aca="false">IF(H504=1,"",D504/E504)</f>
        <v/>
      </c>
      <c r="G504" s="17" t="str">
        <f aca="false">IF(H504=1,"",D504/E504*Notas!$B$3)</f>
        <v/>
      </c>
      <c r="H504" s="13" t="n">
        <v>1</v>
      </c>
      <c r="I504" s="17" t="n">
        <f aca="false">IF(H504=1,D504,G504)</f>
        <v>3</v>
      </c>
    </row>
    <row r="505" customFormat="false" ht="15" hidden="false" customHeight="false" outlineLevel="0" collapsed="false">
      <c r="A505" s="13" t="s">
        <v>232</v>
      </c>
      <c r="B505" s="13" t="s">
        <v>114</v>
      </c>
      <c r="C505" s="13" t="s">
        <v>133</v>
      </c>
      <c r="D505" s="15" t="n">
        <v>0.30005</v>
      </c>
      <c r="E505" s="13" t="n">
        <v>1.00017</v>
      </c>
      <c r="F505" s="16" t="n">
        <f aca="false">IF(H505=1,"",D505/E505)</f>
        <v>0.299999000169971</v>
      </c>
      <c r="G505" s="17" t="n">
        <f aca="false">IF(H505=1,"",D505/E505*Notas!$B$3)</f>
        <v>28.4999050161473</v>
      </c>
      <c r="H505" s="13" t="n">
        <v>0</v>
      </c>
      <c r="I505" s="17" t="n">
        <f aca="false">IF(H505=1,D505,G505)</f>
        <v>28.4999050161473</v>
      </c>
    </row>
    <row r="506" customFormat="false" ht="15" hidden="false" customHeight="false" outlineLevel="0" collapsed="false">
      <c r="A506" s="13" t="s">
        <v>232</v>
      </c>
      <c r="B506" s="13" t="s">
        <v>114</v>
      </c>
      <c r="C506" s="13" t="s">
        <v>134</v>
      </c>
      <c r="D506" s="15" t="n">
        <v>0.57278</v>
      </c>
      <c r="E506" s="13" t="n">
        <v>1.00017</v>
      </c>
      <c r="F506" s="16" t="n">
        <f aca="false">IF(H506=1,"",D506/E506)</f>
        <v>0.572682643950528</v>
      </c>
      <c r="G506" s="17" t="n">
        <f aca="false">IF(H506=1,"",D506/E506*Notas!$B$3)</f>
        <v>54.4048511753002</v>
      </c>
      <c r="H506" s="13" t="n">
        <v>0</v>
      </c>
      <c r="I506" s="17" t="n">
        <f aca="false">IF(H506=1,D506,G506)</f>
        <v>54.4048511753002</v>
      </c>
    </row>
    <row r="507" customFormat="false" ht="15" hidden="false" customHeight="false" outlineLevel="0" collapsed="false">
      <c r="A507" s="13" t="s">
        <v>232</v>
      </c>
      <c r="B507" s="13" t="s">
        <v>114</v>
      </c>
      <c r="C507" s="13" t="s">
        <v>135</v>
      </c>
      <c r="D507" s="15" t="n">
        <v>0.19564</v>
      </c>
      <c r="E507" s="13" t="n">
        <v>1.00017</v>
      </c>
      <c r="F507" s="16" t="n">
        <f aca="false">IF(H507=1,"",D507/E507)</f>
        <v>0.195606746853035</v>
      </c>
      <c r="G507" s="17" t="n">
        <f aca="false">IF(H507=1,"",D507/E507*Notas!$B$3)</f>
        <v>18.5826409510383</v>
      </c>
      <c r="H507" s="13" t="n">
        <v>0</v>
      </c>
      <c r="I507" s="17" t="n">
        <f aca="false">IF(H507=1,D507,G507)</f>
        <v>18.5826409510383</v>
      </c>
    </row>
    <row r="508" customFormat="false" ht="15" hidden="false" customHeight="false" outlineLevel="0" collapsed="false">
      <c r="A508" s="13" t="s">
        <v>232</v>
      </c>
      <c r="B508" s="13" t="s">
        <v>114</v>
      </c>
      <c r="C508" s="13" t="s">
        <v>136</v>
      </c>
      <c r="D508" s="15" t="n">
        <v>1.31124</v>
      </c>
      <c r="E508" s="13" t="n">
        <v>1.00017</v>
      </c>
      <c r="F508" s="16" t="n">
        <f aca="false">IF(H508=1,"",D508/E508)</f>
        <v>1.3110171270884</v>
      </c>
      <c r="G508" s="17" t="n">
        <f aca="false">IF(H508=1,"",D508/E508*Notas!$B$3)</f>
        <v>124.546627073398</v>
      </c>
      <c r="H508" s="13" t="n">
        <v>0</v>
      </c>
      <c r="I508" s="17" t="n">
        <f aca="false">IF(H508=1,D508,G508)</f>
        <v>124.546627073398</v>
      </c>
    </row>
    <row r="509" customFormat="false" ht="15" hidden="false" customHeight="false" outlineLevel="0" collapsed="false">
      <c r="A509" s="13" t="s">
        <v>232</v>
      </c>
      <c r="B509" s="13" t="s">
        <v>114</v>
      </c>
      <c r="C509" s="13" t="s">
        <v>137</v>
      </c>
      <c r="D509" s="15" t="n">
        <v>0.57278</v>
      </c>
      <c r="E509" s="13" t="n">
        <v>1.00017</v>
      </c>
      <c r="F509" s="16" t="n">
        <f aca="false">IF(H509=1,"",D509/E509)</f>
        <v>0.572682643950528</v>
      </c>
      <c r="G509" s="17" t="n">
        <f aca="false">IF(H509=1,"",D509/E509*Notas!$B$3)</f>
        <v>54.4048511753002</v>
      </c>
      <c r="H509" s="13" t="n">
        <v>0</v>
      </c>
      <c r="I509" s="17" t="n">
        <f aca="false">IF(H509=1,D509,G509)</f>
        <v>54.4048511753002</v>
      </c>
    </row>
    <row r="510" customFormat="false" ht="15" hidden="false" customHeight="false" outlineLevel="0" collapsed="false">
      <c r="A510" s="13" t="s">
        <v>232</v>
      </c>
      <c r="B510" s="13" t="s">
        <v>114</v>
      </c>
      <c r="C510" s="13" t="s">
        <v>138</v>
      </c>
      <c r="D510" s="15" t="n">
        <v>6</v>
      </c>
      <c r="E510" s="13" t="n">
        <v>1.00017</v>
      </c>
      <c r="F510" s="16" t="str">
        <f aca="false">IF(H510=1,"",D510/E510)</f>
        <v/>
      </c>
      <c r="G510" s="17" t="str">
        <f aca="false">IF(H510=1,"",D510/E510*Notas!$B$3)</f>
        <v/>
      </c>
      <c r="H510" s="13" t="n">
        <v>1</v>
      </c>
      <c r="I510" s="17" t="n">
        <f aca="false">IF(H510=1,D510,G510)</f>
        <v>6</v>
      </c>
    </row>
    <row r="511" customFormat="false" ht="15" hidden="false" customHeight="false" outlineLevel="0" collapsed="false">
      <c r="A511" s="13" t="s">
        <v>232</v>
      </c>
      <c r="B511" s="13" t="s">
        <v>114</v>
      </c>
      <c r="C511" s="13" t="s">
        <v>206</v>
      </c>
      <c r="D511" s="15" t="n">
        <v>0.64708</v>
      </c>
      <c r="E511" s="13" t="n">
        <v>1.00017</v>
      </c>
      <c r="F511" s="16" t="n">
        <f aca="false">IF(H511=1,"",D511/E511)</f>
        <v>0.646970015097434</v>
      </c>
      <c r="G511" s="17" t="n">
        <f aca="false">IF(H511=1,"",D511/E511*Notas!$B$3)</f>
        <v>61.4621514342562</v>
      </c>
      <c r="H511" s="13" t="n">
        <v>0</v>
      </c>
      <c r="I511" s="17" t="n">
        <f aca="false">IF(H511=1,D511,G511)</f>
        <v>61.4621514342562</v>
      </c>
    </row>
    <row r="512" customFormat="false" ht="15" hidden="false" customHeight="false" outlineLevel="0" collapsed="false">
      <c r="A512" s="13" t="s">
        <v>236</v>
      </c>
      <c r="B512" s="13" t="s">
        <v>17</v>
      </c>
      <c r="C512" s="13" t="s">
        <v>18</v>
      </c>
      <c r="D512" s="15" t="n">
        <v>0.93604</v>
      </c>
      <c r="E512" s="13" t="n">
        <v>0.93604</v>
      </c>
      <c r="F512" s="16" t="n">
        <f aca="false">IF(H512=1,"",D512/E512)</f>
        <v>1</v>
      </c>
      <c r="G512" s="17" t="n">
        <f aca="false">IF(H512=1,"",D512/E512*Notas!$B$3)</f>
        <v>95</v>
      </c>
      <c r="H512" s="13" t="n">
        <v>0</v>
      </c>
      <c r="I512" s="17" t="n">
        <f aca="false">IF(H512=1,D512,G512)</f>
        <v>95</v>
      </c>
    </row>
    <row r="513" customFormat="false" ht="15" hidden="false" customHeight="false" outlineLevel="0" collapsed="false">
      <c r="A513" s="13" t="s">
        <v>236</v>
      </c>
      <c r="B513" s="13" t="s">
        <v>17</v>
      </c>
      <c r="C513" s="13" t="s">
        <v>19</v>
      </c>
      <c r="D513" s="15" t="n">
        <v>0.99904</v>
      </c>
      <c r="E513" s="13" t="n">
        <v>0.93604</v>
      </c>
      <c r="F513" s="16" t="n">
        <f aca="false">IF(H513=1,"",D513/E513)</f>
        <v>1.0673048160335</v>
      </c>
      <c r="G513" s="17" t="n">
        <f aca="false">IF(H513=1,"",D513/E513*Notas!$B$3)</f>
        <v>101.393957523183</v>
      </c>
      <c r="H513" s="13" t="n">
        <v>0</v>
      </c>
      <c r="I513" s="17" t="n">
        <f aca="false">IF(H513=1,D513,G513)</f>
        <v>101.393957523183</v>
      </c>
    </row>
    <row r="514" customFormat="false" ht="15" hidden="false" customHeight="false" outlineLevel="0" collapsed="false">
      <c r="A514" s="13" t="s">
        <v>236</v>
      </c>
      <c r="B514" s="13" t="s">
        <v>17</v>
      </c>
      <c r="C514" s="13" t="s">
        <v>20</v>
      </c>
      <c r="D514" s="15" t="n">
        <v>0.36118</v>
      </c>
      <c r="E514" s="13" t="n">
        <v>0.93604</v>
      </c>
      <c r="F514" s="16" t="n">
        <f aca="false">IF(H514=1,"",D514/E514)</f>
        <v>0.385859578650485</v>
      </c>
      <c r="G514" s="17" t="n">
        <f aca="false">IF(H514=1,"",D514/E514*Notas!$B$3)</f>
        <v>36.6566599717961</v>
      </c>
      <c r="H514" s="13" t="n">
        <v>0</v>
      </c>
      <c r="I514" s="17" t="n">
        <f aca="false">IF(H514=1,D514,G514)</f>
        <v>36.6566599717961</v>
      </c>
    </row>
    <row r="515" customFormat="false" ht="15" hidden="false" customHeight="false" outlineLevel="0" collapsed="false">
      <c r="A515" s="13" t="s">
        <v>236</v>
      </c>
      <c r="B515" s="13" t="s">
        <v>17</v>
      </c>
      <c r="C515" s="13" t="s">
        <v>21</v>
      </c>
      <c r="D515" s="15" t="n">
        <v>8996</v>
      </c>
      <c r="E515" s="13" t="n">
        <v>0.93604</v>
      </c>
      <c r="F515" s="16" t="str">
        <f aca="false">IF(H515=1,"",D515/E515)</f>
        <v/>
      </c>
      <c r="G515" s="17" t="str">
        <f aca="false">IF(H515=1,"",D515/E515*Notas!$B$3)</f>
        <v/>
      </c>
      <c r="H515" s="13" t="n">
        <v>1</v>
      </c>
      <c r="I515" s="17" t="n">
        <f aca="false">IF(H515=1,D515,G515)</f>
        <v>8996</v>
      </c>
    </row>
    <row r="516" customFormat="false" ht="15" hidden="false" customHeight="false" outlineLevel="0" collapsed="false">
      <c r="A516" s="13" t="s">
        <v>236</v>
      </c>
      <c r="B516" s="13" t="s">
        <v>17</v>
      </c>
      <c r="C516" s="13" t="s">
        <v>22</v>
      </c>
      <c r="D516" s="15" t="n">
        <v>4493</v>
      </c>
      <c r="E516" s="13" t="n">
        <v>0.93604</v>
      </c>
      <c r="F516" s="16" t="str">
        <f aca="false">IF(H516=1,"",D516/E516)</f>
        <v/>
      </c>
      <c r="G516" s="17" t="str">
        <f aca="false">IF(H516=1,"",D516/E516*Notas!$B$3)</f>
        <v/>
      </c>
      <c r="H516" s="13" t="n">
        <v>1</v>
      </c>
      <c r="I516" s="17" t="n">
        <f aca="false">IF(H516=1,D516,G516)</f>
        <v>4493</v>
      </c>
    </row>
    <row r="517" customFormat="false" ht="15" hidden="false" customHeight="false" outlineLevel="0" collapsed="false">
      <c r="A517" s="13" t="s">
        <v>236</v>
      </c>
      <c r="B517" s="13" t="s">
        <v>17</v>
      </c>
      <c r="C517" s="13" t="s">
        <v>23</v>
      </c>
      <c r="D517" s="15" t="n">
        <v>1.52378</v>
      </c>
      <c r="E517" s="13" t="n">
        <v>0.93604</v>
      </c>
      <c r="F517" s="16" t="str">
        <f aca="false">IF(H517=1,"",D517/E517)</f>
        <v/>
      </c>
      <c r="G517" s="17" t="str">
        <f aca="false">IF(H517=1,"",D517/E517*Notas!$B$3)</f>
        <v/>
      </c>
      <c r="H517" s="13" t="n">
        <v>1</v>
      </c>
      <c r="I517" s="17" t="n">
        <f aca="false">IF(H517=1,D517,G517)</f>
        <v>1.52378</v>
      </c>
    </row>
    <row r="518" customFormat="false" ht="15" hidden="false" customHeight="false" outlineLevel="0" collapsed="false">
      <c r="A518" s="13" t="s">
        <v>236</v>
      </c>
      <c r="B518" s="13" t="s">
        <v>17</v>
      </c>
      <c r="C518" s="13" t="s">
        <v>24</v>
      </c>
      <c r="D518" s="15" t="n">
        <v>0.05615</v>
      </c>
      <c r="E518" s="13" t="n">
        <v>0.93604</v>
      </c>
      <c r="F518" s="16" t="str">
        <f aca="false">IF(H518=1,"",D518/E518)</f>
        <v/>
      </c>
      <c r="G518" s="17" t="str">
        <f aca="false">IF(H518=1,"",D518/E518*Notas!$B$3)</f>
        <v/>
      </c>
      <c r="H518" s="13" t="n">
        <v>1</v>
      </c>
      <c r="I518" s="17" t="n">
        <f aca="false">IF(H518=1,D518,G518)</f>
        <v>0.05615</v>
      </c>
    </row>
    <row r="519" customFormat="false" ht="15" hidden="false" customHeight="false" outlineLevel="0" collapsed="false">
      <c r="A519" s="13" t="s">
        <v>236</v>
      </c>
      <c r="B519" s="13" t="s">
        <v>25</v>
      </c>
      <c r="C519" s="13" t="s">
        <v>26</v>
      </c>
      <c r="D519" s="15" t="n">
        <v>54.33839</v>
      </c>
      <c r="E519" s="13" t="n">
        <v>0.93604</v>
      </c>
      <c r="F519" s="16" t="str">
        <f aca="false">IF(H519=1,"",D519/E519)</f>
        <v/>
      </c>
      <c r="G519" s="17" t="str">
        <f aca="false">IF(H519=1,"",D519/E519*Notas!$B$3)</f>
        <v/>
      </c>
      <c r="H519" s="13" t="n">
        <v>1</v>
      </c>
      <c r="I519" s="17" t="n">
        <f aca="false">IF(H519=1,D519,G519)</f>
        <v>54.33839</v>
      </c>
    </row>
    <row r="520" customFormat="false" ht="15" hidden="false" customHeight="false" outlineLevel="0" collapsed="false">
      <c r="A520" s="13" t="s">
        <v>236</v>
      </c>
      <c r="B520" s="13" t="s">
        <v>25</v>
      </c>
      <c r="C520" s="13" t="s">
        <v>27</v>
      </c>
      <c r="D520" s="15" t="n">
        <v>9.86556</v>
      </c>
      <c r="E520" s="13" t="n">
        <v>0.93604</v>
      </c>
      <c r="F520" s="16" t="str">
        <f aca="false">IF(H520=1,"",D520/E520)</f>
        <v/>
      </c>
      <c r="G520" s="17" t="str">
        <f aca="false">IF(H520=1,"",D520/E520*Notas!$B$3)</f>
        <v/>
      </c>
      <c r="H520" s="13" t="n">
        <v>1</v>
      </c>
      <c r="I520" s="17" t="n">
        <f aca="false">IF(H520=1,D520,G520)</f>
        <v>9.86556</v>
      </c>
    </row>
    <row r="521" customFormat="false" ht="15" hidden="false" customHeight="false" outlineLevel="0" collapsed="false">
      <c r="A521" s="13" t="s">
        <v>236</v>
      </c>
      <c r="B521" s="13" t="s">
        <v>25</v>
      </c>
      <c r="C521" s="13" t="s">
        <v>28</v>
      </c>
      <c r="D521" s="15" t="n">
        <v>31.75727</v>
      </c>
      <c r="E521" s="13" t="n">
        <v>0.93604</v>
      </c>
      <c r="F521" s="16" t="str">
        <f aca="false">IF(H521=1,"",D521/E521)</f>
        <v/>
      </c>
      <c r="G521" s="17" t="str">
        <f aca="false">IF(H521=1,"",D521/E521*Notas!$B$3)</f>
        <v/>
      </c>
      <c r="H521" s="13" t="n">
        <v>1</v>
      </c>
      <c r="I521" s="17" t="n">
        <f aca="false">IF(H521=1,D521,G521)</f>
        <v>31.75727</v>
      </c>
    </row>
    <row r="522" customFormat="false" ht="15" hidden="false" customHeight="false" outlineLevel="0" collapsed="false">
      <c r="A522" s="13" t="s">
        <v>236</v>
      </c>
      <c r="B522" s="13" t="s">
        <v>25</v>
      </c>
      <c r="C522" s="13" t="s">
        <v>29</v>
      </c>
      <c r="D522" s="15" t="n">
        <v>4.03878</v>
      </c>
      <c r="E522" s="13" t="n">
        <v>0.93604</v>
      </c>
      <c r="F522" s="16" t="str">
        <f aca="false">IF(H522=1,"",D522/E522)</f>
        <v/>
      </c>
      <c r="G522" s="17" t="str">
        <f aca="false">IF(H522=1,"",D522/E522*Notas!$B$3)</f>
        <v/>
      </c>
      <c r="H522" s="13" t="n">
        <v>1</v>
      </c>
      <c r="I522" s="17" t="n">
        <f aca="false">IF(H522=1,D522,G522)</f>
        <v>4.03878</v>
      </c>
    </row>
    <row r="523" customFormat="false" ht="15" hidden="false" customHeight="false" outlineLevel="0" collapsed="false">
      <c r="A523" s="13" t="s">
        <v>236</v>
      </c>
      <c r="B523" s="13" t="s">
        <v>30</v>
      </c>
      <c r="C523" s="13" t="s">
        <v>31</v>
      </c>
      <c r="D523" s="15" t="n">
        <v>0.50546</v>
      </c>
      <c r="E523" s="13" t="n">
        <v>0.93604</v>
      </c>
      <c r="F523" s="16" t="n">
        <f aca="false">IF(H523=1,"",D523/E523)</f>
        <v>0.539998290671339</v>
      </c>
      <c r="G523" s="17" t="n">
        <f aca="false">IF(H523=1,"",D523/E523*Notas!$B$3)</f>
        <v>51.2998376137772</v>
      </c>
      <c r="H523" s="13" t="n">
        <v>0</v>
      </c>
      <c r="I523" s="17" t="n">
        <f aca="false">IF(H523=1,D523,G523)</f>
        <v>51.2998376137772</v>
      </c>
    </row>
    <row r="524" customFormat="false" ht="15" hidden="false" customHeight="false" outlineLevel="0" collapsed="false">
      <c r="A524" s="13" t="s">
        <v>236</v>
      </c>
      <c r="B524" s="13" t="s">
        <v>30</v>
      </c>
      <c r="C524" s="13" t="s">
        <v>32</v>
      </c>
      <c r="D524" s="15" t="n">
        <v>0.43058</v>
      </c>
      <c r="E524" s="13" t="n">
        <v>0.93604</v>
      </c>
      <c r="F524" s="16" t="n">
        <f aca="false">IF(H524=1,"",D524/E524)</f>
        <v>0.460001709328661</v>
      </c>
      <c r="G524" s="17" t="n">
        <f aca="false">IF(H524=1,"",D524/E524*Notas!$B$3)</f>
        <v>43.7001623862228</v>
      </c>
      <c r="H524" s="13" t="n">
        <v>0</v>
      </c>
      <c r="I524" s="17" t="n">
        <f aca="false">IF(H524=1,D524,G524)</f>
        <v>43.7001623862228</v>
      </c>
    </row>
    <row r="525" customFormat="false" ht="15" hidden="false" customHeight="false" outlineLevel="0" collapsed="false">
      <c r="A525" s="13" t="s">
        <v>236</v>
      </c>
      <c r="B525" s="13" t="s">
        <v>30</v>
      </c>
      <c r="C525" s="13" t="s">
        <v>33</v>
      </c>
      <c r="D525" s="15" t="n">
        <v>0.58221</v>
      </c>
      <c r="E525" s="13" t="n">
        <v>0.93604</v>
      </c>
      <c r="F525" s="16" t="n">
        <f aca="false">IF(H525=1,"",D525/E525)</f>
        <v>0.621992649886757</v>
      </c>
      <c r="G525" s="17" t="n">
        <f aca="false">IF(H525=1,"",D525/E525*Notas!$B$3)</f>
        <v>59.0893017392419</v>
      </c>
      <c r="H525" s="13" t="n">
        <v>0</v>
      </c>
      <c r="I525" s="17" t="n">
        <f aca="false">IF(H525=1,D525,G525)</f>
        <v>59.0893017392419</v>
      </c>
    </row>
    <row r="526" customFormat="false" ht="15" hidden="false" customHeight="false" outlineLevel="0" collapsed="false">
      <c r="A526" s="13" t="s">
        <v>236</v>
      </c>
      <c r="B526" s="13" t="s">
        <v>30</v>
      </c>
      <c r="C526" s="13" t="s">
        <v>34</v>
      </c>
      <c r="D526" s="15" t="n">
        <v>0.36118</v>
      </c>
      <c r="E526" s="13" t="n">
        <v>0.93604</v>
      </c>
      <c r="F526" s="16" t="n">
        <f aca="false">IF(H526=1,"",D526/E526)</f>
        <v>0.385859578650485</v>
      </c>
      <c r="G526" s="17" t="n">
        <f aca="false">IF(H526=1,"",D526/E526*Notas!$B$3)</f>
        <v>36.6566599717961</v>
      </c>
      <c r="H526" s="13" t="n">
        <v>0</v>
      </c>
      <c r="I526" s="17" t="n">
        <f aca="false">IF(H526=1,D526,G526)</f>
        <v>36.6566599717961</v>
      </c>
    </row>
    <row r="527" customFormat="false" ht="15" hidden="false" customHeight="false" outlineLevel="0" collapsed="false">
      <c r="A527" s="13" t="s">
        <v>236</v>
      </c>
      <c r="B527" s="13" t="s">
        <v>35</v>
      </c>
      <c r="C527" s="13" t="s">
        <v>36</v>
      </c>
      <c r="D527" s="15" t="n">
        <v>2.17391</v>
      </c>
      <c r="E527" s="13" t="n">
        <v>0.93604</v>
      </c>
      <c r="F527" s="16" t="str">
        <f aca="false">IF(H527=1,"",D527/E527)</f>
        <v/>
      </c>
      <c r="G527" s="17" t="str">
        <f aca="false">IF(H527=1,"",D527/E527*Notas!$B$3)</f>
        <v/>
      </c>
      <c r="H527" s="13" t="n">
        <v>1</v>
      </c>
      <c r="I527" s="17" t="n">
        <f aca="false">IF(H527=1,D527,G527)</f>
        <v>2.17391</v>
      </c>
    </row>
    <row r="528" customFormat="false" ht="15" hidden="false" customHeight="false" outlineLevel="0" collapsed="false">
      <c r="A528" s="13" t="s">
        <v>236</v>
      </c>
      <c r="B528" s="13" t="s">
        <v>35</v>
      </c>
      <c r="C528" s="13" t="s">
        <v>37</v>
      </c>
      <c r="D528" s="15" t="n">
        <v>46</v>
      </c>
      <c r="E528" s="13" t="n">
        <v>0.93604</v>
      </c>
      <c r="F528" s="16" t="str">
        <f aca="false">IF(H528=1,"",D528/E528)</f>
        <v/>
      </c>
      <c r="G528" s="17" t="str">
        <f aca="false">IF(H528=1,"",D528/E528*Notas!$B$3)</f>
        <v/>
      </c>
      <c r="H528" s="13" t="n">
        <v>1</v>
      </c>
      <c r="I528" s="17" t="n">
        <f aca="false">IF(H528=1,D528,G528)</f>
        <v>46</v>
      </c>
    </row>
    <row r="529" customFormat="false" ht="15" hidden="false" customHeight="false" outlineLevel="0" collapsed="false">
      <c r="A529" s="13" t="s">
        <v>236</v>
      </c>
      <c r="B529" s="13" t="s">
        <v>38</v>
      </c>
      <c r="C529" s="13" t="s">
        <v>39</v>
      </c>
      <c r="D529" s="15" t="n">
        <v>0.67272</v>
      </c>
      <c r="E529" s="13" t="n">
        <v>0.93604</v>
      </c>
      <c r="F529" s="16" t="n">
        <f aca="false">IF(H529=1,"",D529/E529)</f>
        <v>0.718687235588223</v>
      </c>
      <c r="G529" s="17" t="n">
        <f aca="false">IF(H529=1,"",D529/E529*Notas!$B$3)</f>
        <v>68.2752873808812</v>
      </c>
      <c r="H529" s="13" t="n">
        <v>0</v>
      </c>
      <c r="I529" s="17" t="n">
        <f aca="false">IF(H529=1,D529,G529)</f>
        <v>68.2752873808812</v>
      </c>
    </row>
    <row r="530" customFormat="false" ht="15" hidden="false" customHeight="false" outlineLevel="0" collapsed="false">
      <c r="A530" s="13" t="s">
        <v>236</v>
      </c>
      <c r="B530" s="13" t="s">
        <v>38</v>
      </c>
      <c r="C530" s="13" t="s">
        <v>40</v>
      </c>
      <c r="D530" s="15" t="n">
        <v>0.07818</v>
      </c>
      <c r="E530" s="13" t="n">
        <v>0.93604</v>
      </c>
      <c r="F530" s="16" t="n">
        <f aca="false">IF(H530=1,"",D530/E530)</f>
        <v>0.0835220717063373</v>
      </c>
      <c r="G530" s="17" t="n">
        <f aca="false">IF(H530=1,"",D530/E530*Notas!$B$3)</f>
        <v>7.93459681210205</v>
      </c>
      <c r="H530" s="13" t="n">
        <v>0</v>
      </c>
      <c r="I530" s="17" t="n">
        <f aca="false">IF(H530=1,D530,G530)</f>
        <v>7.93459681210205</v>
      </c>
    </row>
    <row r="531" customFormat="false" ht="15" hidden="false" customHeight="false" outlineLevel="0" collapsed="false">
      <c r="A531" s="13" t="s">
        <v>236</v>
      </c>
      <c r="B531" s="13" t="s">
        <v>38</v>
      </c>
      <c r="C531" s="13" t="s">
        <v>41</v>
      </c>
      <c r="D531" s="15" t="n">
        <v>0.08848</v>
      </c>
      <c r="E531" s="13" t="n">
        <v>0.93604</v>
      </c>
      <c r="F531" s="16" t="n">
        <f aca="false">IF(H531=1,"",D531/E531)</f>
        <v>0.0945258749626085</v>
      </c>
      <c r="G531" s="17" t="n">
        <f aca="false">IF(H531=1,"",D531/E531*Notas!$B$3)</f>
        <v>8.9799581214478</v>
      </c>
      <c r="H531" s="13" t="n">
        <v>0</v>
      </c>
      <c r="I531" s="17" t="n">
        <f aca="false">IF(H531=1,D531,G531)</f>
        <v>8.9799581214478</v>
      </c>
    </row>
    <row r="532" customFormat="false" ht="15" hidden="false" customHeight="false" outlineLevel="0" collapsed="false">
      <c r="A532" s="13" t="s">
        <v>236</v>
      </c>
      <c r="B532" s="13" t="s">
        <v>38</v>
      </c>
      <c r="C532" s="13" t="s">
        <v>42</v>
      </c>
      <c r="D532" s="15" t="n">
        <v>-0.08346</v>
      </c>
      <c r="E532" s="13" t="n">
        <v>0.93604</v>
      </c>
      <c r="F532" s="16" t="n">
        <f aca="false">IF(H532=1,"",D532/E532)</f>
        <v>-0.0891628562881928</v>
      </c>
      <c r="G532" s="17" t="n">
        <f aca="false">IF(H532=1,"",D532/E532*Notas!$B$3)</f>
        <v>-8.47047134737832</v>
      </c>
      <c r="H532" s="13" t="n">
        <v>0</v>
      </c>
      <c r="I532" s="17" t="n">
        <f aca="false">IF(H532=1,D532,G532)</f>
        <v>-8.47047134737832</v>
      </c>
    </row>
    <row r="533" customFormat="false" ht="15" hidden="false" customHeight="false" outlineLevel="0" collapsed="false">
      <c r="A533" s="13" t="s">
        <v>236</v>
      </c>
      <c r="B533" s="13" t="s">
        <v>38</v>
      </c>
      <c r="C533" s="13" t="s">
        <v>43</v>
      </c>
      <c r="D533" s="15" t="n">
        <v>0.60817</v>
      </c>
      <c r="E533" s="13" t="n">
        <v>0.93604</v>
      </c>
      <c r="F533" s="16" t="n">
        <f aca="false">IF(H533=1,"",D533/E533)</f>
        <v>0.649726507414213</v>
      </c>
      <c r="G533" s="17" t="n">
        <f aca="false">IF(H533=1,"",D533/E533*Notas!$B$3)</f>
        <v>61.7240182043502</v>
      </c>
      <c r="H533" s="13" t="n">
        <v>0</v>
      </c>
      <c r="I533" s="17" t="n">
        <f aca="false">IF(H533=1,D533,G533)</f>
        <v>61.7240182043502</v>
      </c>
    </row>
    <row r="534" customFormat="false" ht="15" hidden="false" customHeight="false" outlineLevel="0" collapsed="false">
      <c r="A534" s="13" t="s">
        <v>236</v>
      </c>
      <c r="B534" s="13" t="s">
        <v>38</v>
      </c>
      <c r="C534" s="13" t="s">
        <v>44</v>
      </c>
      <c r="D534" s="15" t="n">
        <v>0.1446</v>
      </c>
      <c r="E534" s="13" t="n">
        <v>0.93604</v>
      </c>
      <c r="F534" s="16" t="n">
        <f aca="false">IF(H534=1,"",D534/E534)</f>
        <v>0.154480577753088</v>
      </c>
      <c r="G534" s="17" t="n">
        <f aca="false">IF(H534=1,"",D534/E534*Notas!$B$3)</f>
        <v>14.6756548865433</v>
      </c>
      <c r="H534" s="13" t="n">
        <v>0</v>
      </c>
      <c r="I534" s="17" t="n">
        <f aca="false">IF(H534=1,D534,G534)</f>
        <v>14.6756548865433</v>
      </c>
    </row>
    <row r="535" customFormat="false" ht="15" hidden="false" customHeight="false" outlineLevel="0" collapsed="false">
      <c r="A535" s="13" t="s">
        <v>236</v>
      </c>
      <c r="B535" s="13" t="s">
        <v>38</v>
      </c>
      <c r="C535" s="13" t="s">
        <v>45</v>
      </c>
      <c r="D535" s="15" t="n">
        <v>0.18269</v>
      </c>
      <c r="E535" s="13" t="n">
        <v>0.93604</v>
      </c>
      <c r="F535" s="16" t="n">
        <f aca="false">IF(H535=1,"",D535/E535)</f>
        <v>0.195173283193026</v>
      </c>
      <c r="G535" s="17" t="n">
        <f aca="false">IF(H535=1,"",D535/E535*Notas!$B$3)</f>
        <v>18.5414619033375</v>
      </c>
      <c r="H535" s="13" t="n">
        <v>0</v>
      </c>
      <c r="I535" s="17" t="n">
        <f aca="false">IF(H535=1,D535,G535)</f>
        <v>18.5414619033375</v>
      </c>
    </row>
    <row r="536" customFormat="false" ht="15" hidden="false" customHeight="false" outlineLevel="0" collapsed="false">
      <c r="A536" s="13" t="s">
        <v>236</v>
      </c>
      <c r="B536" s="13" t="s">
        <v>38</v>
      </c>
      <c r="C536" s="13" t="s">
        <v>46</v>
      </c>
      <c r="D536" s="15" t="n">
        <v>0.09196</v>
      </c>
      <c r="E536" s="13" t="n">
        <v>0.93604</v>
      </c>
      <c r="F536" s="16" t="n">
        <f aca="false">IF(H536=1,"",D536/E536)</f>
        <v>0.0982436648006495</v>
      </c>
      <c r="G536" s="17" t="n">
        <f aca="false">IF(H536=1,"",D536/E536*Notas!$B$3)</f>
        <v>9.33314815606171</v>
      </c>
      <c r="H536" s="13" t="n">
        <v>0</v>
      </c>
      <c r="I536" s="17" t="n">
        <f aca="false">IF(H536=1,D536,G536)</f>
        <v>9.33314815606171</v>
      </c>
    </row>
    <row r="537" customFormat="false" ht="15" hidden="false" customHeight="false" outlineLevel="0" collapsed="false">
      <c r="A537" s="13" t="s">
        <v>236</v>
      </c>
      <c r="B537" s="13" t="s">
        <v>38</v>
      </c>
      <c r="C537" s="13" t="s">
        <v>47</v>
      </c>
      <c r="D537" s="15" t="n">
        <v>0.20014</v>
      </c>
      <c r="E537" s="13" t="n">
        <v>0.93604</v>
      </c>
      <c r="F537" s="16" t="n">
        <f aca="false">IF(H537=1,"",D537/E537)</f>
        <v>0.213815648903893</v>
      </c>
      <c r="G537" s="17" t="n">
        <f aca="false">IF(H537=1,"",D537/E537*Notas!$B$3)</f>
        <v>20.3124866458698</v>
      </c>
      <c r="H537" s="13" t="n">
        <v>0</v>
      </c>
      <c r="I537" s="17" t="n">
        <f aca="false">IF(H537=1,D537,G537)</f>
        <v>20.3124866458698</v>
      </c>
    </row>
    <row r="538" customFormat="false" ht="15" hidden="false" customHeight="false" outlineLevel="0" collapsed="false">
      <c r="A538" s="13" t="s">
        <v>236</v>
      </c>
      <c r="B538" s="13" t="s">
        <v>38</v>
      </c>
      <c r="C538" s="13" t="s">
        <v>48</v>
      </c>
      <c r="D538" s="15" t="n">
        <v>0.28681</v>
      </c>
      <c r="E538" s="13" t="n">
        <v>0.93604</v>
      </c>
      <c r="F538" s="16" t="n">
        <f aca="false">IF(H538=1,"",D538/E538)</f>
        <v>0.306407845818555</v>
      </c>
      <c r="G538" s="17" t="n">
        <f aca="false">IF(H538=1,"",D538/E538*Notas!$B$3)</f>
        <v>29.1087453527627</v>
      </c>
      <c r="H538" s="13" t="n">
        <v>0</v>
      </c>
      <c r="I538" s="17" t="n">
        <f aca="false">IF(H538=1,D538,G538)</f>
        <v>29.1087453527627</v>
      </c>
    </row>
    <row r="539" customFormat="false" ht="15" hidden="false" customHeight="false" outlineLevel="0" collapsed="false">
      <c r="A539" s="13" t="s">
        <v>236</v>
      </c>
      <c r="B539" s="13" t="s">
        <v>30</v>
      </c>
      <c r="C539" s="13" t="s">
        <v>49</v>
      </c>
      <c r="D539" s="15" t="n">
        <v>0.45496</v>
      </c>
      <c r="E539" s="13" t="n">
        <v>0.93604</v>
      </c>
      <c r="F539" s="16" t="n">
        <f aca="false">IF(H539=1,"",D539/E539)</f>
        <v>0.486047604803214</v>
      </c>
      <c r="G539" s="17" t="n">
        <f aca="false">IF(H539=1,"",D539/E539*Notas!$B$3)</f>
        <v>46.1745224563053</v>
      </c>
      <c r="H539" s="13" t="n">
        <v>0</v>
      </c>
      <c r="I539" s="17" t="n">
        <f aca="false">IF(H539=1,D539,G539)</f>
        <v>46.1745224563053</v>
      </c>
    </row>
    <row r="540" customFormat="false" ht="15" hidden="false" customHeight="false" outlineLevel="0" collapsed="false">
      <c r="A540" s="13" t="s">
        <v>236</v>
      </c>
      <c r="B540" s="13" t="s">
        <v>30</v>
      </c>
      <c r="C540" s="13" t="s">
        <v>50</v>
      </c>
      <c r="D540" s="15" t="n">
        <v>0.30139</v>
      </c>
      <c r="E540" s="13" t="n">
        <v>0.93604</v>
      </c>
      <c r="F540" s="16" t="n">
        <f aca="false">IF(H540=1,"",D540/E540)</f>
        <v>0.321984103243451</v>
      </c>
      <c r="G540" s="17" t="n">
        <f aca="false">IF(H540=1,"",D540/E540*Notas!$B$3)</f>
        <v>30.5884898081279</v>
      </c>
      <c r="H540" s="13" t="n">
        <v>0</v>
      </c>
      <c r="I540" s="17" t="n">
        <f aca="false">IF(H540=1,D540,G540)</f>
        <v>30.5884898081279</v>
      </c>
    </row>
    <row r="541" customFormat="false" ht="15" hidden="false" customHeight="false" outlineLevel="0" collapsed="false">
      <c r="A541" s="13" t="s">
        <v>236</v>
      </c>
      <c r="B541" s="13" t="s">
        <v>30</v>
      </c>
      <c r="C541" s="13" t="s">
        <v>51</v>
      </c>
      <c r="D541" s="15" t="n">
        <v>1.59132</v>
      </c>
      <c r="E541" s="13" t="n">
        <v>0.93604</v>
      </c>
      <c r="F541" s="16" t="n">
        <f aca="false">IF(H541=1,"",D541/E541)</f>
        <v>1.70005555318149</v>
      </c>
      <c r="G541" s="17" t="n">
        <f aca="false">IF(H541=1,"",D541/E541*Notas!$B$3)</f>
        <v>161.505277552241</v>
      </c>
      <c r="H541" s="13" t="n">
        <v>0</v>
      </c>
      <c r="I541" s="17" t="n">
        <f aca="false">IF(H541=1,D541,G541)</f>
        <v>161.505277552241</v>
      </c>
    </row>
    <row r="542" customFormat="false" ht="15" hidden="false" customHeight="false" outlineLevel="0" collapsed="false">
      <c r="A542" s="13" t="s">
        <v>236</v>
      </c>
      <c r="B542" s="13" t="s">
        <v>30</v>
      </c>
      <c r="C542" s="13" t="s">
        <v>52</v>
      </c>
      <c r="D542" s="15" t="n">
        <v>0.46861</v>
      </c>
      <c r="E542" s="13" t="n">
        <v>0.93604</v>
      </c>
      <c r="F542" s="16" t="n">
        <f aca="false">IF(H542=1,"",D542/E542)</f>
        <v>0.500630314943806</v>
      </c>
      <c r="G542" s="17" t="n">
        <f aca="false">IF(H542=1,"",D542/E542*Notas!$B$3)</f>
        <v>47.5598799196616</v>
      </c>
      <c r="H542" s="13" t="n">
        <v>0</v>
      </c>
      <c r="I542" s="17" t="n">
        <f aca="false">IF(H542=1,D542,G542)</f>
        <v>47.5598799196616</v>
      </c>
    </row>
    <row r="543" customFormat="false" ht="15" hidden="false" customHeight="false" outlineLevel="0" collapsed="false">
      <c r="A543" s="13" t="s">
        <v>236</v>
      </c>
      <c r="B543" s="13" t="s">
        <v>30</v>
      </c>
      <c r="C543" s="13" t="s">
        <v>53</v>
      </c>
      <c r="D543" s="15" t="n">
        <v>0.35818</v>
      </c>
      <c r="E543" s="13" t="n">
        <v>0.93604</v>
      </c>
      <c r="F543" s="16" t="n">
        <f aca="false">IF(H543=1,"",D543/E543)</f>
        <v>0.382654587410794</v>
      </c>
      <c r="G543" s="17" t="n">
        <f aca="false">IF(H543=1,"",D543/E543*Notas!$B$3)</f>
        <v>36.3521858040255</v>
      </c>
      <c r="H543" s="13" t="n">
        <v>0</v>
      </c>
      <c r="I543" s="17" t="n">
        <f aca="false">IF(H543=1,D543,G543)</f>
        <v>36.3521858040255</v>
      </c>
    </row>
    <row r="544" customFormat="false" ht="15" hidden="false" customHeight="false" outlineLevel="0" collapsed="false">
      <c r="A544" s="13" t="s">
        <v>236</v>
      </c>
      <c r="B544" s="13" t="s">
        <v>30</v>
      </c>
      <c r="C544" s="13" t="s">
        <v>54</v>
      </c>
      <c r="D544" s="15" t="n">
        <v>1.55204</v>
      </c>
      <c r="E544" s="13" t="n">
        <v>0.93604</v>
      </c>
      <c r="F544" s="16" t="n">
        <f aca="false">IF(H544=1,"",D544/E544)</f>
        <v>1.65809153454981</v>
      </c>
      <c r="G544" s="17" t="n">
        <f aca="false">IF(H544=1,"",D544/E544*Notas!$B$3)</f>
        <v>157.518695782232</v>
      </c>
      <c r="H544" s="13" t="n">
        <v>0</v>
      </c>
      <c r="I544" s="17" t="n">
        <f aca="false">IF(H544=1,D544,G544)</f>
        <v>157.518695782232</v>
      </c>
    </row>
    <row r="545" customFormat="false" ht="15" hidden="false" customHeight="false" outlineLevel="0" collapsed="false">
      <c r="A545" s="13" t="s">
        <v>236</v>
      </c>
      <c r="B545" s="13" t="s">
        <v>30</v>
      </c>
      <c r="C545" s="13" t="s">
        <v>55</v>
      </c>
      <c r="D545" s="15" t="n">
        <v>0.42956</v>
      </c>
      <c r="E545" s="13" t="n">
        <v>0.93604</v>
      </c>
      <c r="F545" s="16" t="n">
        <f aca="false">IF(H545=1,"",D545/E545)</f>
        <v>0.458912012307166</v>
      </c>
      <c r="G545" s="17" t="n">
        <f aca="false">IF(H545=1,"",D545/E545*Notas!$B$3)</f>
        <v>43.5966411691808</v>
      </c>
      <c r="H545" s="13" t="n">
        <v>0</v>
      </c>
      <c r="I545" s="17" t="n">
        <f aca="false">IF(H545=1,D545,G545)</f>
        <v>43.5966411691808</v>
      </c>
    </row>
    <row r="546" customFormat="false" ht="15" hidden="false" customHeight="false" outlineLevel="0" collapsed="false">
      <c r="A546" s="13" t="s">
        <v>236</v>
      </c>
      <c r="B546" s="13" t="s">
        <v>30</v>
      </c>
      <c r="C546" s="13" t="s">
        <v>56</v>
      </c>
      <c r="D546" s="15" t="n">
        <v>0.33072</v>
      </c>
      <c r="E546" s="13" t="n">
        <v>0.93604</v>
      </c>
      <c r="F546" s="16" t="n">
        <f aca="false">IF(H546=1,"",D546/E546)</f>
        <v>0.353318234263493</v>
      </c>
      <c r="G546" s="17" t="n">
        <f aca="false">IF(H546=1,"",D546/E546*Notas!$B$3)</f>
        <v>33.5652322550318</v>
      </c>
      <c r="H546" s="13" t="n">
        <v>0</v>
      </c>
      <c r="I546" s="17" t="n">
        <f aca="false">IF(H546=1,D546,G546)</f>
        <v>33.5652322550318</v>
      </c>
    </row>
    <row r="547" customFormat="false" ht="15" hidden="false" customHeight="false" outlineLevel="0" collapsed="false">
      <c r="A547" s="13" t="s">
        <v>236</v>
      </c>
      <c r="B547" s="13" t="s">
        <v>30</v>
      </c>
      <c r="C547" s="13" t="s">
        <v>57</v>
      </c>
      <c r="D547" s="15" t="n">
        <v>1.46292</v>
      </c>
      <c r="E547" s="13" t="n">
        <v>0.93604</v>
      </c>
      <c r="F547" s="16" t="n">
        <f aca="false">IF(H547=1,"",D547/E547)</f>
        <v>1.56288192812273</v>
      </c>
      <c r="G547" s="17" t="n">
        <f aca="false">IF(H547=1,"",D547/E547*Notas!$B$3)</f>
        <v>148.473783171659</v>
      </c>
      <c r="H547" s="13" t="n">
        <v>0</v>
      </c>
      <c r="I547" s="17" t="n">
        <f aca="false">IF(H547=1,D547,G547)</f>
        <v>148.473783171659</v>
      </c>
    </row>
    <row r="548" customFormat="false" ht="15" hidden="false" customHeight="false" outlineLevel="0" collapsed="false">
      <c r="A548" s="13" t="s">
        <v>236</v>
      </c>
      <c r="B548" s="13" t="s">
        <v>58</v>
      </c>
      <c r="C548" s="13" t="s">
        <v>59</v>
      </c>
      <c r="D548" s="15" t="n">
        <v>0.6652</v>
      </c>
      <c r="E548" s="13" t="n">
        <v>0.93604</v>
      </c>
      <c r="F548" s="16" t="n">
        <f aca="false">IF(H548=1,"",D548/E548)</f>
        <v>0.710653390880732</v>
      </c>
      <c r="G548" s="17" t="n">
        <f aca="false">IF(H548=1,"",D548/E548*Notas!$B$3)</f>
        <v>67.5120721336695</v>
      </c>
      <c r="H548" s="13" t="n">
        <v>0</v>
      </c>
      <c r="I548" s="17" t="n">
        <f aca="false">IF(H548=1,D548,G548)</f>
        <v>67.5120721336695</v>
      </c>
    </row>
    <row r="549" customFormat="false" ht="15" hidden="false" customHeight="false" outlineLevel="0" collapsed="false">
      <c r="A549" s="13" t="s">
        <v>236</v>
      </c>
      <c r="B549" s="13" t="s">
        <v>58</v>
      </c>
      <c r="C549" s="13" t="s">
        <v>60</v>
      </c>
      <c r="D549" s="15" t="n">
        <v>0.2618</v>
      </c>
      <c r="E549" s="13" t="n">
        <v>0.93604</v>
      </c>
      <c r="F549" s="16" t="n">
        <f aca="false">IF(H549=1,"",D549/E549)</f>
        <v>0.279688902183667</v>
      </c>
      <c r="G549" s="17" t="n">
        <f aca="false">IF(H549=1,"",D549/E549*Notas!$B$3)</f>
        <v>26.5704457074484</v>
      </c>
      <c r="H549" s="13" t="n">
        <v>0</v>
      </c>
      <c r="I549" s="17" t="n">
        <f aca="false">IF(H549=1,D549,G549)</f>
        <v>26.5704457074484</v>
      </c>
    </row>
    <row r="550" customFormat="false" ht="15" hidden="false" customHeight="false" outlineLevel="0" collapsed="false">
      <c r="A550" s="13" t="s">
        <v>236</v>
      </c>
      <c r="B550" s="13" t="s">
        <v>58</v>
      </c>
      <c r="C550" s="13" t="s">
        <v>61</v>
      </c>
      <c r="D550" s="15" t="n">
        <v>0.66593</v>
      </c>
      <c r="E550" s="13" t="n">
        <v>0.93604</v>
      </c>
      <c r="F550" s="16" t="n">
        <f aca="false">IF(H550=1,"",D550/E550)</f>
        <v>0.71143327208239</v>
      </c>
      <c r="G550" s="17" t="n">
        <f aca="false">IF(H550=1,"",D550/E550*Notas!$B$3)</f>
        <v>67.586160847827</v>
      </c>
      <c r="H550" s="13" t="n">
        <v>0</v>
      </c>
      <c r="I550" s="17" t="n">
        <f aca="false">IF(H550=1,D550,G550)</f>
        <v>67.586160847827</v>
      </c>
    </row>
    <row r="551" customFormat="false" ht="15" hidden="false" customHeight="false" outlineLevel="0" collapsed="false">
      <c r="A551" s="13" t="s">
        <v>236</v>
      </c>
      <c r="B551" s="13" t="s">
        <v>58</v>
      </c>
      <c r="C551" s="13" t="s">
        <v>62</v>
      </c>
      <c r="D551" s="15" t="n">
        <v>0.2442</v>
      </c>
      <c r="E551" s="13" t="n">
        <v>0.93604</v>
      </c>
      <c r="F551" s="16" t="n">
        <f aca="false">IF(H551=1,"",D551/E551)</f>
        <v>0.260886286910816</v>
      </c>
      <c r="G551" s="17" t="n">
        <f aca="false">IF(H551=1,"",D551/E551*Notas!$B$3)</f>
        <v>24.7841972565275</v>
      </c>
      <c r="H551" s="13" t="n">
        <v>0</v>
      </c>
      <c r="I551" s="17" t="n">
        <f aca="false">IF(H551=1,D551,G551)</f>
        <v>24.7841972565275</v>
      </c>
    </row>
    <row r="552" customFormat="false" ht="15" hidden="false" customHeight="false" outlineLevel="0" collapsed="false">
      <c r="A552" s="13" t="s">
        <v>236</v>
      </c>
      <c r="B552" s="13" t="s">
        <v>63</v>
      </c>
      <c r="C552" s="13" t="s">
        <v>64</v>
      </c>
      <c r="D552" s="15" t="n">
        <v>0.51106</v>
      </c>
      <c r="E552" s="13" t="n">
        <v>0.93604</v>
      </c>
      <c r="F552" s="16" t="n">
        <f aca="false">IF(H552=1,"",D552/E552)</f>
        <v>0.545980940985428</v>
      </c>
      <c r="G552" s="17" t="n">
        <f aca="false">IF(H552=1,"",D552/E552*Notas!$B$3)</f>
        <v>51.8681893936157</v>
      </c>
      <c r="H552" s="13" t="n">
        <v>0</v>
      </c>
      <c r="I552" s="17" t="n">
        <f aca="false">IF(H552=1,D552,G552)</f>
        <v>51.8681893936157</v>
      </c>
    </row>
    <row r="553" customFormat="false" ht="15" hidden="false" customHeight="false" outlineLevel="0" collapsed="false">
      <c r="A553" s="13" t="s">
        <v>236</v>
      </c>
      <c r="B553" s="13" t="s">
        <v>63</v>
      </c>
      <c r="C553" s="13" t="s">
        <v>67</v>
      </c>
      <c r="D553" s="15" t="n">
        <v>0.26353</v>
      </c>
      <c r="E553" s="13" t="n">
        <v>0.93604</v>
      </c>
      <c r="F553" s="16" t="n">
        <f aca="false">IF(H553=1,"",D553/E553)</f>
        <v>0.281537113798556</v>
      </c>
      <c r="G553" s="17" t="n">
        <f aca="false">IF(H553=1,"",D553/E553*Notas!$B$3)</f>
        <v>26.7460258108628</v>
      </c>
      <c r="H553" s="13" t="n">
        <v>0</v>
      </c>
      <c r="I553" s="17" t="n">
        <f aca="false">IF(H553=1,D553,G553)</f>
        <v>26.7460258108628</v>
      </c>
    </row>
    <row r="554" customFormat="false" ht="15" hidden="false" customHeight="false" outlineLevel="0" collapsed="false">
      <c r="A554" s="13" t="s">
        <v>236</v>
      </c>
      <c r="B554" s="13" t="s">
        <v>63</v>
      </c>
      <c r="C554" s="13" t="s">
        <v>68</v>
      </c>
      <c r="D554" s="15" t="n">
        <v>0.21675</v>
      </c>
      <c r="E554" s="13" t="n">
        <v>0.93604</v>
      </c>
      <c r="F554" s="16" t="n">
        <f aca="false">IF(H554=1,"",D554/E554)</f>
        <v>0.231560617067647</v>
      </c>
      <c r="G554" s="17" t="n">
        <f aca="false">IF(H554=1,"",D554/E554*Notas!$B$3)</f>
        <v>21.9982586214264</v>
      </c>
      <c r="H554" s="13" t="n">
        <v>0</v>
      </c>
      <c r="I554" s="17" t="n">
        <f aca="false">IF(H554=1,D554,G554)</f>
        <v>21.9982586214264</v>
      </c>
    </row>
    <row r="555" customFormat="false" ht="15" hidden="false" customHeight="false" outlineLevel="0" collapsed="false">
      <c r="A555" s="13" t="s">
        <v>236</v>
      </c>
      <c r="B555" s="13" t="s">
        <v>178</v>
      </c>
      <c r="C555" s="13" t="s">
        <v>179</v>
      </c>
      <c r="D555" s="15" t="n">
        <v>0.46721</v>
      </c>
      <c r="E555" s="13" t="n">
        <v>0.93604</v>
      </c>
      <c r="F555" s="16" t="n">
        <f aca="false">IF(H555=1,"",D555/E555)</f>
        <v>0.499134652365284</v>
      </c>
      <c r="G555" s="17" t="n">
        <f aca="false">IF(H555=1,"",D555/E555*Notas!$B$3)</f>
        <v>47.4177919747019</v>
      </c>
      <c r="H555" s="13" t="n">
        <v>0</v>
      </c>
      <c r="I555" s="17" t="n">
        <f aca="false">IF(H555=1,D555,G555)</f>
        <v>47.4177919747019</v>
      </c>
    </row>
    <row r="556" customFormat="false" ht="15" hidden="false" customHeight="false" outlineLevel="0" collapsed="false">
      <c r="A556" s="13" t="s">
        <v>236</v>
      </c>
      <c r="B556" s="13" t="s">
        <v>178</v>
      </c>
      <c r="C556" s="13" t="s">
        <v>180</v>
      </c>
      <c r="D556" s="15" t="n">
        <v>0.40668</v>
      </c>
      <c r="E556" s="13" t="n">
        <v>0.93604</v>
      </c>
      <c r="F556" s="16" t="n">
        <f aca="false">IF(H556=1,"",D556/E556)</f>
        <v>0.434468612452459</v>
      </c>
      <c r="G556" s="17" t="n">
        <f aca="false">IF(H556=1,"",D556/E556*Notas!$B$3)</f>
        <v>41.2745181829836</v>
      </c>
      <c r="H556" s="13" t="n">
        <v>0</v>
      </c>
      <c r="I556" s="17" t="n">
        <f aca="false">IF(H556=1,D556,G556)</f>
        <v>41.2745181829836</v>
      </c>
    </row>
    <row r="557" customFormat="false" ht="15" hidden="false" customHeight="false" outlineLevel="0" collapsed="false">
      <c r="A557" s="13" t="s">
        <v>236</v>
      </c>
      <c r="B557" s="13" t="s">
        <v>178</v>
      </c>
      <c r="C557" s="13" t="s">
        <v>181</v>
      </c>
      <c r="D557" s="15" t="n">
        <v>0.06053</v>
      </c>
      <c r="E557" s="13" t="n">
        <v>0.93604</v>
      </c>
      <c r="F557" s="16" t="n">
        <f aca="false">IF(H557=1,"",D557/E557)</f>
        <v>0.0646660399128242</v>
      </c>
      <c r="G557" s="17" t="n">
        <f aca="false">IF(H557=1,"",D557/E557*Notas!$B$3)</f>
        <v>6.1432737917183</v>
      </c>
      <c r="H557" s="13" t="n">
        <v>0</v>
      </c>
      <c r="I557" s="17" t="n">
        <f aca="false">IF(H557=1,D557,G557)</f>
        <v>6.1432737917183</v>
      </c>
    </row>
    <row r="558" customFormat="false" ht="15" hidden="false" customHeight="false" outlineLevel="0" collapsed="false">
      <c r="A558" s="13" t="s">
        <v>236</v>
      </c>
      <c r="B558" s="13" t="s">
        <v>178</v>
      </c>
      <c r="C558" s="13" t="s">
        <v>73</v>
      </c>
      <c r="D558" s="15" t="n">
        <v>0.03788</v>
      </c>
      <c r="E558" s="13" t="n">
        <v>0.93604</v>
      </c>
      <c r="F558" s="16" t="n">
        <f aca="false">IF(H558=1,"",D558/E558)</f>
        <v>0.0404683560531601</v>
      </c>
      <c r="G558" s="17" t="n">
        <f aca="false">IF(H558=1,"",D558/E558*Notas!$B$3)</f>
        <v>3.84449382505021</v>
      </c>
      <c r="H558" s="13" t="n">
        <v>0</v>
      </c>
      <c r="I558" s="17" t="n">
        <f aca="false">IF(H558=1,D558,G558)</f>
        <v>3.84449382505021</v>
      </c>
    </row>
    <row r="559" customFormat="false" ht="15" hidden="false" customHeight="false" outlineLevel="0" collapsed="false">
      <c r="A559" s="13" t="s">
        <v>236</v>
      </c>
      <c r="B559" s="13" t="s">
        <v>69</v>
      </c>
      <c r="C559" s="13" t="s">
        <v>70</v>
      </c>
      <c r="D559" s="15" t="n">
        <v>0.31287</v>
      </c>
      <c r="E559" s="13" t="n">
        <v>0.93604</v>
      </c>
      <c r="F559" s="16" t="n">
        <f aca="false">IF(H559=1,"",D559/E559)</f>
        <v>0.334248536387334</v>
      </c>
      <c r="G559" s="17" t="n">
        <f aca="false">IF(H559=1,"",D559/E559*Notas!$B$3)</f>
        <v>31.7536109567967</v>
      </c>
      <c r="H559" s="13" t="n">
        <v>0</v>
      </c>
      <c r="I559" s="17" t="n">
        <f aca="false">IF(H559=1,D559,G559)</f>
        <v>31.7536109567967</v>
      </c>
    </row>
    <row r="560" customFormat="false" ht="15" hidden="false" customHeight="false" outlineLevel="0" collapsed="false">
      <c r="A560" s="13" t="s">
        <v>236</v>
      </c>
      <c r="B560" s="13" t="s">
        <v>69</v>
      </c>
      <c r="C560" s="13" t="s">
        <v>71</v>
      </c>
      <c r="D560" s="15" t="n">
        <v>0.07082</v>
      </c>
      <c r="E560" s="13" t="n">
        <v>0.93604</v>
      </c>
      <c r="F560" s="16" t="n">
        <f aca="false">IF(H560=1,"",D560/E560)</f>
        <v>0.075659159864963</v>
      </c>
      <c r="G560" s="17" t="n">
        <f aca="false">IF(H560=1,"",D560/E560*Notas!$B$3)</f>
        <v>7.18762018717149</v>
      </c>
      <c r="H560" s="13" t="n">
        <v>0</v>
      </c>
      <c r="I560" s="17" t="n">
        <f aca="false">IF(H560=1,D560,G560)</f>
        <v>7.18762018717149</v>
      </c>
    </row>
    <row r="561" customFormat="false" ht="15" hidden="false" customHeight="false" outlineLevel="0" collapsed="false">
      <c r="A561" s="13" t="s">
        <v>236</v>
      </c>
      <c r="B561" s="13" t="s">
        <v>69</v>
      </c>
      <c r="C561" s="13" t="s">
        <v>72</v>
      </c>
      <c r="D561" s="15" t="n">
        <v>0.24205</v>
      </c>
      <c r="E561" s="13" t="n">
        <v>0.93604</v>
      </c>
      <c r="F561" s="16" t="n">
        <f aca="false">IF(H561=1,"",D561/E561)</f>
        <v>0.258589376522371</v>
      </c>
      <c r="G561" s="17" t="n">
        <f aca="false">IF(H561=1,"",D561/E561*Notas!$B$3)</f>
        <v>24.5659907696252</v>
      </c>
      <c r="H561" s="13" t="n">
        <v>0</v>
      </c>
      <c r="I561" s="17" t="n">
        <f aca="false">IF(H561=1,D561,G561)</f>
        <v>24.5659907696252</v>
      </c>
    </row>
    <row r="562" customFormat="false" ht="15" hidden="false" customHeight="false" outlineLevel="0" collapsed="false">
      <c r="A562" s="13" t="s">
        <v>236</v>
      </c>
      <c r="B562" s="13" t="s">
        <v>69</v>
      </c>
      <c r="C562" s="13" t="s">
        <v>73</v>
      </c>
      <c r="D562" s="15" t="n">
        <v>0.35574</v>
      </c>
      <c r="E562" s="13" t="n">
        <v>0.93604</v>
      </c>
      <c r="F562" s="16" t="n">
        <f aca="false">IF(H562=1,"",D562/E562)</f>
        <v>0.380047861202513</v>
      </c>
      <c r="G562" s="17" t="n">
        <f aca="false">IF(H562=1,"",D562/E562*Notas!$B$3)</f>
        <v>36.1045468142387</v>
      </c>
      <c r="H562" s="13" t="n">
        <v>0</v>
      </c>
      <c r="I562" s="17" t="n">
        <f aca="false">IF(H562=1,D562,G562)</f>
        <v>36.1045468142387</v>
      </c>
    </row>
    <row r="563" customFormat="false" ht="15" hidden="false" customHeight="false" outlineLevel="0" collapsed="false">
      <c r="A563" s="13" t="s">
        <v>236</v>
      </c>
      <c r="B563" s="13" t="s">
        <v>69</v>
      </c>
      <c r="C563" s="13" t="s">
        <v>74</v>
      </c>
      <c r="D563" s="15" t="n">
        <v>0.16929</v>
      </c>
      <c r="E563" s="13" t="n">
        <v>0.93604</v>
      </c>
      <c r="F563" s="16" t="n">
        <f aca="false">IF(H563=1,"",D563/E563)</f>
        <v>0.180857655655741</v>
      </c>
      <c r="G563" s="17" t="n">
        <f aca="false">IF(H563=1,"",D563/E563*Notas!$B$3)</f>
        <v>17.1814772872954</v>
      </c>
      <c r="H563" s="13" t="n">
        <v>0</v>
      </c>
      <c r="I563" s="17" t="n">
        <f aca="false">IF(H563=1,D563,G563)</f>
        <v>17.1814772872954</v>
      </c>
    </row>
    <row r="564" customFormat="false" ht="15" hidden="false" customHeight="false" outlineLevel="0" collapsed="false">
      <c r="A564" s="13" t="s">
        <v>236</v>
      </c>
      <c r="B564" s="13" t="s">
        <v>75</v>
      </c>
      <c r="C564" s="13" t="s">
        <v>76</v>
      </c>
      <c r="D564" s="15" t="n">
        <v>0.21117</v>
      </c>
      <c r="E564" s="13" t="n">
        <v>0.93604</v>
      </c>
      <c r="F564" s="16" t="n">
        <f aca="false">IF(H564=1,"",D564/E564)</f>
        <v>0.225599333361822</v>
      </c>
      <c r="G564" s="17" t="n">
        <f aca="false">IF(H564=1,"",D564/E564*Notas!$B$3)</f>
        <v>21.4319366693731</v>
      </c>
      <c r="H564" s="13" t="n">
        <v>0</v>
      </c>
      <c r="I564" s="17" t="n">
        <f aca="false">IF(H564=1,D564,G564)</f>
        <v>21.4319366693731</v>
      </c>
    </row>
    <row r="565" customFormat="false" ht="15" hidden="false" customHeight="false" outlineLevel="0" collapsed="false">
      <c r="A565" s="13" t="s">
        <v>236</v>
      </c>
      <c r="B565" s="13" t="s">
        <v>75</v>
      </c>
      <c r="C565" s="13" t="s">
        <v>77</v>
      </c>
      <c r="D565" s="15" t="n">
        <v>0.21117</v>
      </c>
      <c r="E565" s="13" t="n">
        <v>0.93604</v>
      </c>
      <c r="F565" s="16" t="n">
        <f aca="false">IF(H565=1,"",D565/E565)</f>
        <v>0.225599333361822</v>
      </c>
      <c r="G565" s="17" t="n">
        <f aca="false">IF(H565=1,"",D565/E565*Notas!$B$3)</f>
        <v>21.4319366693731</v>
      </c>
      <c r="H565" s="13" t="n">
        <v>0</v>
      </c>
      <c r="I565" s="17" t="n">
        <f aca="false">IF(H565=1,D565,G565)</f>
        <v>21.4319366693731</v>
      </c>
    </row>
    <row r="566" customFormat="false" ht="15" hidden="false" customHeight="false" outlineLevel="0" collapsed="false">
      <c r="A566" s="13" t="s">
        <v>236</v>
      </c>
      <c r="B566" s="13" t="s">
        <v>75</v>
      </c>
      <c r="C566" s="13" t="s">
        <v>78</v>
      </c>
      <c r="D566" s="15" t="n">
        <v>0.29429</v>
      </c>
      <c r="E566" s="13" t="n">
        <v>0.93604</v>
      </c>
      <c r="F566" s="16" t="n">
        <f aca="false">IF(H566=1,"",D566/E566)</f>
        <v>0.314398957309517</v>
      </c>
      <c r="G566" s="17" t="n">
        <f aca="false">IF(H566=1,"",D566/E566*Notas!$B$3)</f>
        <v>29.8679009444041</v>
      </c>
      <c r="H566" s="13" t="n">
        <v>0</v>
      </c>
      <c r="I566" s="17" t="n">
        <f aca="false">IF(H566=1,D566,G566)</f>
        <v>29.8679009444041</v>
      </c>
    </row>
    <row r="567" customFormat="false" ht="15" hidden="false" customHeight="false" outlineLevel="0" collapsed="false">
      <c r="A567" s="13" t="s">
        <v>236</v>
      </c>
      <c r="B567" s="13" t="s">
        <v>35</v>
      </c>
      <c r="C567" s="13" t="s">
        <v>79</v>
      </c>
      <c r="D567" s="15" t="n">
        <v>22.56003</v>
      </c>
      <c r="E567" s="13" t="n">
        <v>0.93604</v>
      </c>
      <c r="F567" s="16" t="str">
        <f aca="false">IF(H567=1,"",D567/E567)</f>
        <v/>
      </c>
      <c r="G567" s="17" t="str">
        <f aca="false">IF(H567=1,"",D567/E567*Notas!$B$3)</f>
        <v/>
      </c>
      <c r="H567" s="13" t="n">
        <v>1</v>
      </c>
      <c r="I567" s="17" t="n">
        <f aca="false">IF(H567=1,D567,G567)</f>
        <v>22.56003</v>
      </c>
    </row>
    <row r="568" customFormat="false" ht="15" hidden="false" customHeight="false" outlineLevel="0" collapsed="false">
      <c r="A568" s="13" t="s">
        <v>236</v>
      </c>
      <c r="B568" s="13" t="s">
        <v>35</v>
      </c>
      <c r="C568" s="13" t="s">
        <v>80</v>
      </c>
      <c r="D568" s="15" t="n">
        <v>31.43997</v>
      </c>
      <c r="E568" s="13" t="n">
        <v>0.93604</v>
      </c>
      <c r="F568" s="16" t="str">
        <f aca="false">IF(H568=1,"",D568/E568)</f>
        <v/>
      </c>
      <c r="G568" s="17" t="str">
        <f aca="false">IF(H568=1,"",D568/E568*Notas!$B$3)</f>
        <v/>
      </c>
      <c r="H568" s="13" t="n">
        <v>1</v>
      </c>
      <c r="I568" s="17" t="n">
        <f aca="false">IF(H568=1,D568,G568)</f>
        <v>31.43997</v>
      </c>
    </row>
    <row r="569" customFormat="false" ht="15" hidden="false" customHeight="false" outlineLevel="0" collapsed="false">
      <c r="A569" s="13" t="s">
        <v>236</v>
      </c>
      <c r="B569" s="13" t="s">
        <v>75</v>
      </c>
      <c r="C569" s="13" t="s">
        <v>81</v>
      </c>
      <c r="D569" s="15" t="n">
        <v>0.12893</v>
      </c>
      <c r="E569" s="13" t="n">
        <v>0.93604</v>
      </c>
      <c r="F569" s="16" t="n">
        <f aca="false">IF(H569=1,"",D569/E569)</f>
        <v>0.13773984017777</v>
      </c>
      <c r="G569" s="17" t="n">
        <f aca="false">IF(H569=1,"",D569/E569*Notas!$B$3)</f>
        <v>13.0852848168882</v>
      </c>
      <c r="H569" s="13" t="n">
        <v>0</v>
      </c>
      <c r="I569" s="17" t="n">
        <f aca="false">IF(H569=1,D569,G569)</f>
        <v>13.0852848168882</v>
      </c>
    </row>
    <row r="570" customFormat="false" ht="15" hidden="false" customHeight="false" outlineLevel="0" collapsed="false">
      <c r="A570" s="13" t="s">
        <v>236</v>
      </c>
      <c r="B570" s="13" t="s">
        <v>75</v>
      </c>
      <c r="C570" s="13" t="s">
        <v>82</v>
      </c>
      <c r="D570" s="15" t="n">
        <v>0.12912</v>
      </c>
      <c r="E570" s="13" t="n">
        <v>0.93604</v>
      </c>
      <c r="F570" s="16" t="n">
        <f aca="false">IF(H570=1,"",D570/E570)</f>
        <v>0.137942822956284</v>
      </c>
      <c r="G570" s="17" t="n">
        <f aca="false">IF(H570=1,"",D570/E570*Notas!$B$3)</f>
        <v>13.104568180847</v>
      </c>
      <c r="H570" s="13" t="n">
        <v>0</v>
      </c>
      <c r="I570" s="17" t="n">
        <f aca="false">IF(H570=1,D570,G570)</f>
        <v>13.104568180847</v>
      </c>
    </row>
    <row r="571" customFormat="false" ht="15" hidden="false" customHeight="false" outlineLevel="0" collapsed="false">
      <c r="A571" s="13" t="s">
        <v>236</v>
      </c>
      <c r="B571" s="13" t="s">
        <v>75</v>
      </c>
      <c r="C571" s="13" t="s">
        <v>83</v>
      </c>
      <c r="D571" s="15" t="n">
        <v>0.41313</v>
      </c>
      <c r="E571" s="13" t="n">
        <v>0.93604</v>
      </c>
      <c r="F571" s="16" t="n">
        <f aca="false">IF(H571=1,"",D571/E571)</f>
        <v>0.441359343617794</v>
      </c>
      <c r="G571" s="17" t="n">
        <f aca="false">IF(H571=1,"",D571/E571*Notas!$B$3)</f>
        <v>41.9291376436904</v>
      </c>
      <c r="H571" s="13" t="n">
        <v>0</v>
      </c>
      <c r="I571" s="17" t="n">
        <f aca="false">IF(H571=1,D571,G571)</f>
        <v>41.9291376436904</v>
      </c>
    </row>
    <row r="572" customFormat="false" ht="15" hidden="false" customHeight="false" outlineLevel="0" collapsed="false">
      <c r="A572" s="13" t="s">
        <v>236</v>
      </c>
      <c r="B572" s="13" t="s">
        <v>75</v>
      </c>
      <c r="C572" s="13" t="s">
        <v>84</v>
      </c>
      <c r="D572" s="15" t="n">
        <v>0.1286</v>
      </c>
      <c r="E572" s="13" t="n">
        <v>0.93604</v>
      </c>
      <c r="F572" s="16" t="n">
        <f aca="false">IF(H572=1,"",D572/E572)</f>
        <v>0.137387291141404</v>
      </c>
      <c r="G572" s="17" t="n">
        <f aca="false">IF(H572=1,"",D572/E572*Notas!$B$3)</f>
        <v>13.0517926584334</v>
      </c>
      <c r="H572" s="13" t="n">
        <v>0</v>
      </c>
      <c r="I572" s="17" t="n">
        <f aca="false">IF(H572=1,D572,G572)</f>
        <v>13.0517926584334</v>
      </c>
    </row>
    <row r="573" customFormat="false" ht="15" hidden="false" customHeight="false" outlineLevel="0" collapsed="false">
      <c r="A573" s="13" t="s">
        <v>236</v>
      </c>
      <c r="B573" s="13" t="s">
        <v>75</v>
      </c>
      <c r="C573" s="13" t="s">
        <v>85</v>
      </c>
      <c r="D573" s="15" t="n">
        <v>0.12847</v>
      </c>
      <c r="E573" s="13" t="n">
        <v>0.93604</v>
      </c>
      <c r="F573" s="16" t="n">
        <f aca="false">IF(H573=1,"",D573/E573)</f>
        <v>0.137248408187684</v>
      </c>
      <c r="G573" s="17" t="n">
        <f aca="false">IF(H573=1,"",D573/E573*Notas!$B$3)</f>
        <v>13.03859877783</v>
      </c>
      <c r="H573" s="13" t="n">
        <v>0</v>
      </c>
      <c r="I573" s="17" t="n">
        <f aca="false">IF(H573=1,D573,G573)</f>
        <v>13.03859877783</v>
      </c>
    </row>
    <row r="574" customFormat="false" ht="15" hidden="false" customHeight="false" outlineLevel="0" collapsed="false">
      <c r="A574" s="13" t="s">
        <v>236</v>
      </c>
      <c r="B574" s="13" t="s">
        <v>75</v>
      </c>
      <c r="C574" s="13" t="s">
        <v>86</v>
      </c>
      <c r="D574" s="15" t="n">
        <v>0.41591</v>
      </c>
      <c r="E574" s="13" t="n">
        <v>0.93604</v>
      </c>
      <c r="F574" s="16" t="n">
        <f aca="false">IF(H574=1,"",D574/E574)</f>
        <v>0.444329302166574</v>
      </c>
      <c r="G574" s="17" t="n">
        <f aca="false">IF(H574=1,"",D574/E574*Notas!$B$3)</f>
        <v>42.2112837058245</v>
      </c>
      <c r="H574" s="13" t="n">
        <v>0</v>
      </c>
      <c r="I574" s="17" t="n">
        <f aca="false">IF(H574=1,D574,G574)</f>
        <v>42.2112837058245</v>
      </c>
    </row>
    <row r="575" customFormat="false" ht="15" hidden="false" customHeight="false" outlineLevel="0" collapsed="false">
      <c r="A575" s="13" t="s">
        <v>236</v>
      </c>
      <c r="B575" s="13" t="s">
        <v>75</v>
      </c>
      <c r="C575" s="13" t="s">
        <v>87</v>
      </c>
      <c r="D575" s="15" t="n">
        <v>0.05012</v>
      </c>
      <c r="E575" s="13" t="n">
        <v>0.93604</v>
      </c>
      <c r="F575" s="16" t="n">
        <f aca="false">IF(H575=1,"",D575/E575)</f>
        <v>0.0535447203110978</v>
      </c>
      <c r="G575" s="17" t="n">
        <f aca="false">IF(H575=1,"",D575/E575*Notas!$B$3)</f>
        <v>5.08674842955429</v>
      </c>
      <c r="H575" s="13" t="n">
        <v>0</v>
      </c>
      <c r="I575" s="17" t="n">
        <f aca="false">IF(H575=1,D575,G575)</f>
        <v>5.08674842955429</v>
      </c>
    </row>
    <row r="576" customFormat="false" ht="15" hidden="false" customHeight="false" outlineLevel="0" collapsed="false">
      <c r="A576" s="13" t="s">
        <v>236</v>
      </c>
      <c r="B576" s="13" t="s">
        <v>75</v>
      </c>
      <c r="C576" s="13" t="s">
        <v>88</v>
      </c>
      <c r="D576" s="15" t="n">
        <v>0.12704</v>
      </c>
      <c r="E576" s="13" t="n">
        <v>0.93604</v>
      </c>
      <c r="F576" s="16" t="n">
        <f aca="false">IF(H576=1,"",D576/E576)</f>
        <v>0.135720695696765</v>
      </c>
      <c r="G576" s="17" t="n">
        <f aca="false">IF(H576=1,"",D576/E576*Notas!$B$3)</f>
        <v>12.8934660911927</v>
      </c>
      <c r="H576" s="13" t="n">
        <v>0</v>
      </c>
      <c r="I576" s="17" t="n">
        <f aca="false">IF(H576=1,D576,G576)</f>
        <v>12.8934660911927</v>
      </c>
    </row>
    <row r="577" customFormat="false" ht="15" hidden="false" customHeight="false" outlineLevel="0" collapsed="false">
      <c r="A577" s="13" t="s">
        <v>236</v>
      </c>
      <c r="B577" s="13" t="s">
        <v>75</v>
      </c>
      <c r="C577" s="13" t="s">
        <v>89</v>
      </c>
      <c r="D577" s="15" t="n">
        <v>0.12766</v>
      </c>
      <c r="E577" s="13" t="n">
        <v>0.93604</v>
      </c>
      <c r="F577" s="16" t="n">
        <f aca="false">IF(H577=1,"",D577/E577)</f>
        <v>0.136383060552968</v>
      </c>
      <c r="G577" s="17" t="n">
        <f aca="false">IF(H577=1,"",D577/E577*Notas!$B$3)</f>
        <v>12.9563907525319</v>
      </c>
      <c r="H577" s="13" t="n">
        <v>0</v>
      </c>
      <c r="I577" s="17" t="n">
        <f aca="false">IF(H577=1,D577,G577)</f>
        <v>12.9563907525319</v>
      </c>
    </row>
    <row r="578" customFormat="false" ht="15" hidden="false" customHeight="false" outlineLevel="0" collapsed="false">
      <c r="A578" s="13" t="s">
        <v>236</v>
      </c>
      <c r="B578" s="13" t="s">
        <v>75</v>
      </c>
      <c r="C578" s="13" t="s">
        <v>90</v>
      </c>
      <c r="D578" s="15" t="n">
        <v>0.4056</v>
      </c>
      <c r="E578" s="13" t="n">
        <v>0.93604</v>
      </c>
      <c r="F578" s="16" t="n">
        <f aca="false">IF(H578=1,"",D578/E578)</f>
        <v>0.433314815606171</v>
      </c>
      <c r="G578" s="17" t="n">
        <f aca="false">IF(H578=1,"",D578/E578*Notas!$B$3)</f>
        <v>41.1649074825862</v>
      </c>
      <c r="H578" s="13" t="n">
        <v>0</v>
      </c>
      <c r="I578" s="17" t="n">
        <f aca="false">IF(H578=1,D578,G578)</f>
        <v>41.1649074825862</v>
      </c>
    </row>
    <row r="579" customFormat="false" ht="15" hidden="false" customHeight="false" outlineLevel="0" collapsed="false">
      <c r="A579" s="13" t="s">
        <v>236</v>
      </c>
      <c r="B579" s="13" t="s">
        <v>75</v>
      </c>
      <c r="C579" s="13" t="s">
        <v>91</v>
      </c>
      <c r="D579" s="15" t="n">
        <v>0.12786</v>
      </c>
      <c r="E579" s="13" t="n">
        <v>0.93604</v>
      </c>
      <c r="F579" s="16" t="n">
        <f aca="false">IF(H579=1,"",D579/E579)</f>
        <v>0.136596726635614</v>
      </c>
      <c r="G579" s="17" t="n">
        <f aca="false">IF(H579=1,"",D579/E579*Notas!$B$3)</f>
        <v>12.9766890303833</v>
      </c>
      <c r="H579" s="13" t="n">
        <v>0</v>
      </c>
      <c r="I579" s="17" t="n">
        <f aca="false">IF(H579=1,D579,G579)</f>
        <v>12.9766890303833</v>
      </c>
    </row>
    <row r="580" customFormat="false" ht="15" hidden="false" customHeight="false" outlineLevel="0" collapsed="false">
      <c r="A580" s="13" t="s">
        <v>236</v>
      </c>
      <c r="B580" s="13" t="s">
        <v>75</v>
      </c>
      <c r="C580" s="13" t="s">
        <v>92</v>
      </c>
      <c r="D580" s="15" t="n">
        <v>0.12589</v>
      </c>
      <c r="E580" s="13" t="n">
        <v>0.93604</v>
      </c>
      <c r="F580" s="16" t="n">
        <f aca="false">IF(H580=1,"",D580/E580)</f>
        <v>0.13449211572155</v>
      </c>
      <c r="G580" s="17" t="n">
        <f aca="false">IF(H580=1,"",D580/E580*Notas!$B$3)</f>
        <v>12.7767509935473</v>
      </c>
      <c r="H580" s="13" t="n">
        <v>0</v>
      </c>
      <c r="I580" s="17" t="n">
        <f aca="false">IF(H580=1,D580,G580)</f>
        <v>12.7767509935473</v>
      </c>
    </row>
    <row r="581" customFormat="false" ht="15" hidden="false" customHeight="false" outlineLevel="0" collapsed="false">
      <c r="A581" s="13" t="s">
        <v>236</v>
      </c>
      <c r="B581" s="13" t="s">
        <v>75</v>
      </c>
      <c r="C581" s="13" t="s">
        <v>93</v>
      </c>
      <c r="D581" s="15" t="n">
        <v>0.40817</v>
      </c>
      <c r="E581" s="13" t="n">
        <v>0.93604</v>
      </c>
      <c r="F581" s="16" t="n">
        <f aca="false">IF(H581=1,"",D581/E581)</f>
        <v>0.436060424768172</v>
      </c>
      <c r="G581" s="17" t="n">
        <f aca="false">IF(H581=1,"",D581/E581*Notas!$B$3)</f>
        <v>41.4257403529764</v>
      </c>
      <c r="H581" s="13" t="n">
        <v>0</v>
      </c>
      <c r="I581" s="17" t="n">
        <f aca="false">IF(H581=1,D581,G581)</f>
        <v>41.4257403529764</v>
      </c>
    </row>
    <row r="582" customFormat="false" ht="15" hidden="false" customHeight="false" outlineLevel="0" collapsed="false">
      <c r="A582" s="13" t="s">
        <v>236</v>
      </c>
      <c r="B582" s="13" t="s">
        <v>75</v>
      </c>
      <c r="C582" s="13" t="s">
        <v>94</v>
      </c>
      <c r="D582" s="15" t="n">
        <v>0.06569</v>
      </c>
      <c r="E582" s="13" t="n">
        <v>0.93604</v>
      </c>
      <c r="F582" s="16" t="n">
        <f aca="false">IF(H582=1,"",D582/E582)</f>
        <v>0.0701786248450921</v>
      </c>
      <c r="G582" s="17" t="n">
        <f aca="false">IF(H582=1,"",D582/E582*Notas!$B$3)</f>
        <v>6.66696936028375</v>
      </c>
      <c r="H582" s="13" t="n">
        <v>0</v>
      </c>
      <c r="I582" s="17" t="n">
        <f aca="false">IF(H582=1,D582,G582)</f>
        <v>6.66696936028375</v>
      </c>
    </row>
    <row r="583" customFormat="false" ht="15" hidden="false" customHeight="false" outlineLevel="0" collapsed="false">
      <c r="A583" s="13" t="s">
        <v>236</v>
      </c>
      <c r="B583" s="13" t="s">
        <v>75</v>
      </c>
      <c r="C583" s="13" t="s">
        <v>95</v>
      </c>
      <c r="D583" s="15" t="n">
        <v>0.14278</v>
      </c>
      <c r="E583" s="13" t="n">
        <v>0.93604</v>
      </c>
      <c r="F583" s="16" t="n">
        <f aca="false">IF(H583=1,"",D583/E583)</f>
        <v>0.152536216401009</v>
      </c>
      <c r="G583" s="17" t="n">
        <f aca="false">IF(H583=1,"",D583/E583*Notas!$B$3)</f>
        <v>14.4909405580958</v>
      </c>
      <c r="H583" s="13" t="n">
        <v>0</v>
      </c>
      <c r="I583" s="17" t="n">
        <f aca="false">IF(H583=1,D583,G583)</f>
        <v>14.4909405580958</v>
      </c>
    </row>
    <row r="584" customFormat="false" ht="15" hidden="false" customHeight="false" outlineLevel="0" collapsed="false">
      <c r="A584" s="13" t="s">
        <v>236</v>
      </c>
      <c r="B584" s="13" t="s">
        <v>75</v>
      </c>
      <c r="C584" s="13" t="s">
        <v>96</v>
      </c>
      <c r="D584" s="15" t="n">
        <v>0.16713</v>
      </c>
      <c r="E584" s="13" t="n">
        <v>0.93604</v>
      </c>
      <c r="F584" s="16" t="n">
        <f aca="false">IF(H584=1,"",D584/E584)</f>
        <v>0.178550061963164</v>
      </c>
      <c r="G584" s="17" t="n">
        <f aca="false">IF(H584=1,"",D584/E584*Notas!$B$3)</f>
        <v>16.9622558865006</v>
      </c>
      <c r="H584" s="13" t="n">
        <v>0</v>
      </c>
      <c r="I584" s="17" t="n">
        <f aca="false">IF(H584=1,D584,G584)</f>
        <v>16.9622558865006</v>
      </c>
    </row>
    <row r="585" customFormat="false" ht="15" hidden="false" customHeight="false" outlineLevel="0" collapsed="false">
      <c r="A585" s="13" t="s">
        <v>236</v>
      </c>
      <c r="B585" s="13" t="s">
        <v>75</v>
      </c>
      <c r="C585" s="13" t="s">
        <v>97</v>
      </c>
      <c r="D585" s="15" t="n">
        <v>0.48239</v>
      </c>
      <c r="E585" s="13" t="n">
        <v>0.93604</v>
      </c>
      <c r="F585" s="16" t="n">
        <f aca="false">IF(H585=1,"",D585/E585)</f>
        <v>0.515351908038118</v>
      </c>
      <c r="G585" s="17" t="n">
        <f aca="false">IF(H585=1,"",D585/E585*Notas!$B$3)</f>
        <v>48.9584312636212</v>
      </c>
      <c r="H585" s="13" t="n">
        <v>0</v>
      </c>
      <c r="I585" s="17" t="n">
        <f aca="false">IF(H585=1,D585,G585)</f>
        <v>48.9584312636212</v>
      </c>
    </row>
    <row r="586" customFormat="false" ht="15" hidden="false" customHeight="false" outlineLevel="0" collapsed="false">
      <c r="A586" s="13" t="s">
        <v>236</v>
      </c>
      <c r="B586" s="13" t="s">
        <v>75</v>
      </c>
      <c r="C586" s="13" t="s">
        <v>98</v>
      </c>
      <c r="D586" s="15" t="n">
        <v>0.14276</v>
      </c>
      <c r="E586" s="13" t="n">
        <v>0.93604</v>
      </c>
      <c r="F586" s="16" t="n">
        <f aca="false">IF(H586=1,"",D586/E586)</f>
        <v>0.152514849792744</v>
      </c>
      <c r="G586" s="17" t="n">
        <f aca="false">IF(H586=1,"",D586/E586*Notas!$B$3)</f>
        <v>14.4889107303107</v>
      </c>
      <c r="H586" s="13" t="n">
        <v>0</v>
      </c>
      <c r="I586" s="17" t="n">
        <f aca="false">IF(H586=1,D586,G586)</f>
        <v>14.4889107303107</v>
      </c>
    </row>
    <row r="587" customFormat="false" ht="15" hidden="false" customHeight="false" outlineLevel="0" collapsed="false">
      <c r="A587" s="13" t="s">
        <v>236</v>
      </c>
      <c r="B587" s="13" t="s">
        <v>75</v>
      </c>
      <c r="C587" s="13" t="s">
        <v>99</v>
      </c>
      <c r="D587" s="15" t="n">
        <v>0.16567</v>
      </c>
      <c r="E587" s="13" t="n">
        <v>0.93604</v>
      </c>
      <c r="F587" s="16" t="n">
        <f aca="false">IF(H587=1,"",D587/E587)</f>
        <v>0.176990299559848</v>
      </c>
      <c r="G587" s="17" t="n">
        <f aca="false">IF(H587=1,"",D587/E587*Notas!$B$3)</f>
        <v>16.8140784581856</v>
      </c>
      <c r="H587" s="13" t="n">
        <v>0</v>
      </c>
      <c r="I587" s="17" t="n">
        <f aca="false">IF(H587=1,D587,G587)</f>
        <v>16.8140784581856</v>
      </c>
    </row>
    <row r="588" customFormat="false" ht="15" hidden="false" customHeight="false" outlineLevel="0" collapsed="false">
      <c r="A588" s="13" t="s">
        <v>236</v>
      </c>
      <c r="B588" s="13" t="s">
        <v>75</v>
      </c>
      <c r="C588" s="13" t="s">
        <v>100</v>
      </c>
      <c r="D588" s="15" t="n">
        <v>0.48014</v>
      </c>
      <c r="E588" s="13" t="n">
        <v>0.93604</v>
      </c>
      <c r="F588" s="16" t="n">
        <f aca="false">IF(H588=1,"",D588/E588)</f>
        <v>0.51294816460835</v>
      </c>
      <c r="G588" s="17" t="n">
        <f aca="false">IF(H588=1,"",D588/E588*Notas!$B$3)</f>
        <v>48.7300756377933</v>
      </c>
      <c r="H588" s="13" t="n">
        <v>0</v>
      </c>
      <c r="I588" s="17" t="n">
        <f aca="false">IF(H588=1,D588,G588)</f>
        <v>48.7300756377933</v>
      </c>
    </row>
    <row r="589" customFormat="false" ht="15" hidden="false" customHeight="false" outlineLevel="0" collapsed="false">
      <c r="A589" s="13" t="s">
        <v>236</v>
      </c>
      <c r="B589" s="13" t="s">
        <v>75</v>
      </c>
      <c r="C589" s="13" t="s">
        <v>101</v>
      </c>
      <c r="D589" s="15" t="n">
        <v>0.07006</v>
      </c>
      <c r="E589" s="13" t="n">
        <v>0.93604</v>
      </c>
      <c r="F589" s="16" t="n">
        <f aca="false">IF(H589=1,"",D589/E589)</f>
        <v>0.0748472287509081</v>
      </c>
      <c r="G589" s="17" t="n">
        <f aca="false">IF(H589=1,"",D589/E589*Notas!$B$3)</f>
        <v>7.11048673133627</v>
      </c>
      <c r="H589" s="13" t="n">
        <v>0</v>
      </c>
      <c r="I589" s="17" t="n">
        <f aca="false">IF(H589=1,D589,G589)</f>
        <v>7.11048673133627</v>
      </c>
    </row>
    <row r="590" customFormat="false" ht="15" hidden="false" customHeight="false" outlineLevel="0" collapsed="false">
      <c r="A590" s="13" t="s">
        <v>236</v>
      </c>
      <c r="B590" s="13" t="s">
        <v>102</v>
      </c>
      <c r="C590" s="13" t="s">
        <v>103</v>
      </c>
      <c r="D590" s="15" t="n">
        <v>0.2476</v>
      </c>
      <c r="E590" s="13" t="n">
        <v>0.93604</v>
      </c>
      <c r="F590" s="16" t="n">
        <f aca="false">IF(H590=1,"",D590/E590)</f>
        <v>0.264518610315799</v>
      </c>
      <c r="G590" s="17" t="n">
        <f aca="false">IF(H590=1,"",D590/E590*Notas!$B$3)</f>
        <v>25.1292679800009</v>
      </c>
      <c r="H590" s="13" t="n">
        <v>0</v>
      </c>
      <c r="I590" s="17" t="n">
        <f aca="false">IF(H590=1,D590,G590)</f>
        <v>25.1292679800009</v>
      </c>
    </row>
    <row r="591" customFormat="false" ht="15" hidden="false" customHeight="false" outlineLevel="0" collapsed="false">
      <c r="A591" s="13" t="s">
        <v>236</v>
      </c>
      <c r="B591" s="13" t="s">
        <v>102</v>
      </c>
      <c r="C591" s="13" t="s">
        <v>104</v>
      </c>
      <c r="D591" s="15" t="n">
        <v>0.19277</v>
      </c>
      <c r="E591" s="13" t="n">
        <v>0.93604</v>
      </c>
      <c r="F591" s="16" t="n">
        <f aca="false">IF(H591=1,"",D591/E591)</f>
        <v>0.205942053758386</v>
      </c>
      <c r="G591" s="17" t="n">
        <f aca="false">IF(H591=1,"",D591/E591*Notas!$B$3)</f>
        <v>19.5644951070467</v>
      </c>
      <c r="H591" s="13" t="n">
        <v>0</v>
      </c>
      <c r="I591" s="17" t="n">
        <f aca="false">IF(H591=1,D591,G591)</f>
        <v>19.5644951070467</v>
      </c>
    </row>
    <row r="592" customFormat="false" ht="15" hidden="false" customHeight="false" outlineLevel="0" collapsed="false">
      <c r="A592" s="13" t="s">
        <v>236</v>
      </c>
      <c r="B592" s="13" t="s">
        <v>102</v>
      </c>
      <c r="C592" s="13" t="s">
        <v>105</v>
      </c>
      <c r="D592" s="15" t="n">
        <v>0.11509</v>
      </c>
      <c r="E592" s="13" t="n">
        <v>0.93604</v>
      </c>
      <c r="F592" s="16" t="n">
        <f aca="false">IF(H592=1,"",D592/E592)</f>
        <v>0.122954147258664</v>
      </c>
      <c r="G592" s="17" t="n">
        <f aca="false">IF(H592=1,"",D592/E592*Notas!$B$3)</f>
        <v>11.6806439895731</v>
      </c>
      <c r="H592" s="13" t="n">
        <v>0</v>
      </c>
      <c r="I592" s="17" t="n">
        <f aca="false">IF(H592=1,D592,G592)</f>
        <v>11.6806439895731</v>
      </c>
    </row>
    <row r="593" customFormat="false" ht="15" hidden="false" customHeight="false" outlineLevel="0" collapsed="false">
      <c r="A593" s="13" t="s">
        <v>236</v>
      </c>
      <c r="B593" s="13" t="s">
        <v>102</v>
      </c>
      <c r="C593" s="13" t="s">
        <v>106</v>
      </c>
      <c r="D593" s="15" t="n">
        <v>-0.12721</v>
      </c>
      <c r="E593" s="13" t="n">
        <v>0.93604</v>
      </c>
      <c r="F593" s="16" t="n">
        <f aca="false">IF(H593=1,"",D593/E593)</f>
        <v>-0.135902311867014</v>
      </c>
      <c r="G593" s="17" t="n">
        <f aca="false">IF(H593=1,"",D593/E593*Notas!$B$3)</f>
        <v>-12.9107196273664</v>
      </c>
      <c r="H593" s="13" t="n">
        <v>0</v>
      </c>
      <c r="I593" s="17" t="n">
        <f aca="false">IF(H593=1,D593,G593)</f>
        <v>-12.9107196273664</v>
      </c>
    </row>
    <row r="594" customFormat="false" ht="15" hidden="false" customHeight="false" outlineLevel="0" collapsed="false">
      <c r="A594" s="13" t="s">
        <v>236</v>
      </c>
      <c r="B594" s="13" t="s">
        <v>102</v>
      </c>
      <c r="C594" s="13" t="s">
        <v>107</v>
      </c>
      <c r="D594" s="15" t="n">
        <v>0.24551</v>
      </c>
      <c r="E594" s="13" t="n">
        <v>0.93604</v>
      </c>
      <c r="F594" s="16" t="n">
        <f aca="false">IF(H594=1,"",D594/E594)</f>
        <v>0.262285799752147</v>
      </c>
      <c r="G594" s="17" t="n">
        <f aca="false">IF(H594=1,"",D594/E594*Notas!$B$3)</f>
        <v>24.917150976454</v>
      </c>
      <c r="H594" s="13" t="n">
        <v>0</v>
      </c>
      <c r="I594" s="17" t="n">
        <f aca="false">IF(H594=1,D594,G594)</f>
        <v>24.917150976454</v>
      </c>
    </row>
    <row r="595" customFormat="false" ht="15" hidden="false" customHeight="false" outlineLevel="0" collapsed="false">
      <c r="A595" s="13" t="s">
        <v>236</v>
      </c>
      <c r="B595" s="13" t="s">
        <v>102</v>
      </c>
      <c r="C595" s="13" t="s">
        <v>108</v>
      </c>
      <c r="D595" s="15" t="n">
        <v>0.19319</v>
      </c>
      <c r="E595" s="13" t="n">
        <v>0.93604</v>
      </c>
      <c r="F595" s="16" t="n">
        <f aca="false">IF(H595=1,"",D595/E595)</f>
        <v>0.206390752531943</v>
      </c>
      <c r="G595" s="17" t="n">
        <f aca="false">IF(H595=1,"",D595/E595*Notas!$B$3)</f>
        <v>19.6071214905346</v>
      </c>
      <c r="H595" s="13" t="n">
        <v>0</v>
      </c>
      <c r="I595" s="17" t="n">
        <f aca="false">IF(H595=1,D595,G595)</f>
        <v>19.6071214905346</v>
      </c>
    </row>
    <row r="596" customFormat="false" ht="15" hidden="false" customHeight="false" outlineLevel="0" collapsed="false">
      <c r="A596" s="13" t="s">
        <v>236</v>
      </c>
      <c r="B596" s="13" t="s">
        <v>102</v>
      </c>
      <c r="C596" s="13" t="s">
        <v>109</v>
      </c>
      <c r="D596" s="15" t="n">
        <v>0.11432</v>
      </c>
      <c r="E596" s="13" t="n">
        <v>0.93604</v>
      </c>
      <c r="F596" s="16" t="n">
        <f aca="false">IF(H596=1,"",D596/E596)</f>
        <v>0.122131532840477</v>
      </c>
      <c r="G596" s="17" t="n">
        <f aca="false">IF(H596=1,"",D596/E596*Notas!$B$3)</f>
        <v>11.6024956198453</v>
      </c>
      <c r="H596" s="13" t="n">
        <v>0</v>
      </c>
      <c r="I596" s="17" t="n">
        <f aca="false">IF(H596=1,D596,G596)</f>
        <v>11.6024956198453</v>
      </c>
    </row>
    <row r="597" customFormat="false" ht="15" hidden="false" customHeight="false" outlineLevel="0" collapsed="false">
      <c r="A597" s="13" t="s">
        <v>236</v>
      </c>
      <c r="B597" s="13" t="s">
        <v>102</v>
      </c>
      <c r="C597" s="13" t="s">
        <v>110</v>
      </c>
      <c r="D597" s="15" t="n">
        <v>0.12734</v>
      </c>
      <c r="E597" s="13" t="n">
        <v>0.93604</v>
      </c>
      <c r="F597" s="16" t="n">
        <f aca="false">IF(H597=1,"",D597/E597)</f>
        <v>0.136041194820734</v>
      </c>
      <c r="G597" s="17" t="n">
        <f aca="false">IF(H597=1,"",D597/E597*Notas!$B$3)</f>
        <v>12.9239135079697</v>
      </c>
      <c r="H597" s="13" t="n">
        <v>0</v>
      </c>
      <c r="I597" s="17" t="n">
        <f aca="false">IF(H597=1,D597,G597)</f>
        <v>12.9239135079697</v>
      </c>
    </row>
    <row r="598" customFormat="false" ht="15" hidden="false" customHeight="false" outlineLevel="0" collapsed="false">
      <c r="A598" s="13" t="s">
        <v>236</v>
      </c>
      <c r="B598" s="13" t="s">
        <v>102</v>
      </c>
      <c r="C598" s="13" t="s">
        <v>111</v>
      </c>
      <c r="D598" s="15" t="n">
        <v>0.44753</v>
      </c>
      <c r="E598" s="13" t="n">
        <v>0.93604</v>
      </c>
      <c r="F598" s="16" t="n">
        <f aca="false">IF(H598=1,"",D598/E598)</f>
        <v>0.478109909832913</v>
      </c>
      <c r="G598" s="17" t="n">
        <f aca="false">IF(H598=1,"",D598/E598*Notas!$B$3)</f>
        <v>45.4204414341267</v>
      </c>
      <c r="H598" s="13" t="n">
        <v>0</v>
      </c>
      <c r="I598" s="17" t="n">
        <f aca="false">IF(H598=1,D598,G598)</f>
        <v>45.4204414341267</v>
      </c>
    </row>
    <row r="599" customFormat="false" ht="15" hidden="false" customHeight="false" outlineLevel="0" collapsed="false">
      <c r="A599" s="13" t="s">
        <v>236</v>
      </c>
      <c r="B599" s="13" t="s">
        <v>102</v>
      </c>
      <c r="C599" s="13" t="s">
        <v>112</v>
      </c>
      <c r="D599" s="15" t="n">
        <v>0.11528</v>
      </c>
      <c r="E599" s="13" t="n">
        <v>0.93604</v>
      </c>
      <c r="F599" s="16" t="n">
        <f aca="false">IF(H599=1,"",D599/E599)</f>
        <v>0.123157130037178</v>
      </c>
      <c r="G599" s="17" t="n">
        <f aca="false">IF(H599=1,"",D599/E599*Notas!$B$3)</f>
        <v>11.6999273535319</v>
      </c>
      <c r="H599" s="13" t="n">
        <v>0</v>
      </c>
      <c r="I599" s="17" t="n">
        <f aca="false">IF(H599=1,D599,G599)</f>
        <v>11.6999273535319</v>
      </c>
    </row>
    <row r="600" customFormat="false" ht="15" hidden="false" customHeight="false" outlineLevel="0" collapsed="false">
      <c r="A600" s="13" t="s">
        <v>236</v>
      </c>
      <c r="B600" s="13" t="s">
        <v>17</v>
      </c>
      <c r="C600" s="13" t="s">
        <v>113</v>
      </c>
      <c r="D600" s="15" t="n">
        <v>1</v>
      </c>
      <c r="E600" s="13" t="n">
        <v>0.93604</v>
      </c>
      <c r="F600" s="16" t="str">
        <f aca="false">IF(H600=1,"",D600/E600)</f>
        <v/>
      </c>
      <c r="G600" s="17" t="str">
        <f aca="false">IF(H600=1,"",D600/E600*Notas!$B$3)</f>
        <v/>
      </c>
      <c r="H600" s="13" t="n">
        <v>1</v>
      </c>
      <c r="I600" s="17" t="n">
        <f aca="false">IF(H600=1,D600,G600)</f>
        <v>1</v>
      </c>
    </row>
    <row r="601" customFormat="false" ht="15" hidden="false" customHeight="false" outlineLevel="0" collapsed="false">
      <c r="A601" s="13" t="s">
        <v>236</v>
      </c>
      <c r="B601" s="13" t="s">
        <v>114</v>
      </c>
      <c r="C601" s="13" t="s">
        <v>115</v>
      </c>
      <c r="D601" s="15" t="n">
        <v>0.4466</v>
      </c>
      <c r="E601" s="13" t="n">
        <v>0.93604</v>
      </c>
      <c r="F601" s="16" t="n">
        <f aca="false">IF(H601=1,"",D601/E601)</f>
        <v>0.477116362548609</v>
      </c>
      <c r="G601" s="17" t="n">
        <f aca="false">IF(H601=1,"",D601/E601*Notas!$B$3)</f>
        <v>45.3260544421179</v>
      </c>
      <c r="H601" s="13" t="n">
        <v>0</v>
      </c>
      <c r="I601" s="17" t="n">
        <f aca="false">IF(H601=1,D601,G601)</f>
        <v>45.3260544421179</v>
      </c>
    </row>
    <row r="602" customFormat="false" ht="15" hidden="false" customHeight="false" outlineLevel="0" collapsed="false">
      <c r="A602" s="13" t="s">
        <v>236</v>
      </c>
      <c r="B602" s="13" t="s">
        <v>114</v>
      </c>
      <c r="C602" s="13" t="s">
        <v>116</v>
      </c>
      <c r="D602" s="15" t="n">
        <v>0.99845</v>
      </c>
      <c r="E602" s="13" t="n">
        <v>0.93604</v>
      </c>
      <c r="F602" s="16" t="n">
        <f aca="false">IF(H602=1,"",D602/E602)</f>
        <v>1.0666745010897</v>
      </c>
      <c r="G602" s="17" t="n">
        <f aca="false">IF(H602=1,"",D602/E602*Notas!$B$3)</f>
        <v>101.334077603521</v>
      </c>
      <c r="H602" s="13" t="n">
        <v>0</v>
      </c>
      <c r="I602" s="17" t="n">
        <f aca="false">IF(H602=1,D602,G602)</f>
        <v>101.334077603521</v>
      </c>
    </row>
    <row r="603" customFormat="false" ht="15" hidden="false" customHeight="false" outlineLevel="0" collapsed="false">
      <c r="A603" s="13" t="s">
        <v>236</v>
      </c>
      <c r="B603" s="13" t="s">
        <v>114</v>
      </c>
      <c r="C603" s="13" t="s">
        <v>117</v>
      </c>
      <c r="D603" s="15" t="n">
        <v>0.18463</v>
      </c>
      <c r="E603" s="13" t="n">
        <v>0.93604</v>
      </c>
      <c r="F603" s="16" t="n">
        <f aca="false">IF(H603=1,"",D603/E603)</f>
        <v>0.197245844194693</v>
      </c>
      <c r="G603" s="17" t="n">
        <f aca="false">IF(H603=1,"",D603/E603*Notas!$B$3)</f>
        <v>18.7383551984958</v>
      </c>
      <c r="H603" s="13" t="n">
        <v>0</v>
      </c>
      <c r="I603" s="17" t="n">
        <f aca="false">IF(H603=1,D603,G603)</f>
        <v>18.7383551984958</v>
      </c>
    </row>
    <row r="604" customFormat="false" ht="15" hidden="false" customHeight="false" outlineLevel="0" collapsed="false">
      <c r="A604" s="13" t="s">
        <v>236</v>
      </c>
      <c r="B604" s="13" t="s">
        <v>114</v>
      </c>
      <c r="C604" s="13" t="s">
        <v>118</v>
      </c>
      <c r="D604" s="15" t="n">
        <v>2.69645</v>
      </c>
      <c r="E604" s="13" t="n">
        <v>0.93604</v>
      </c>
      <c r="F604" s="16" t="n">
        <f aca="false">IF(H604=1,"",D604/E604)</f>
        <v>2.88069954275458</v>
      </c>
      <c r="G604" s="17" t="n">
        <f aca="false">IF(H604=1,"",D604/E604*Notas!$B$3)</f>
        <v>273.666456561685</v>
      </c>
      <c r="H604" s="13" t="n">
        <v>0</v>
      </c>
      <c r="I604" s="17" t="n">
        <f aca="false">IF(H604=1,D604,G604)</f>
        <v>273.666456561685</v>
      </c>
    </row>
    <row r="605" customFormat="false" ht="15" hidden="false" customHeight="false" outlineLevel="0" collapsed="false">
      <c r="A605" s="13" t="s">
        <v>236</v>
      </c>
      <c r="B605" s="13" t="s">
        <v>114</v>
      </c>
      <c r="C605" s="13" t="s">
        <v>119</v>
      </c>
      <c r="D605" s="15" t="n">
        <v>0.99845</v>
      </c>
      <c r="E605" s="13" t="n">
        <v>0.93604</v>
      </c>
      <c r="F605" s="16" t="n">
        <f aca="false">IF(H605=1,"",D605/E605)</f>
        <v>1.0666745010897</v>
      </c>
      <c r="G605" s="17" t="n">
        <f aca="false">IF(H605=1,"",D605/E605*Notas!$B$3)</f>
        <v>101.334077603521</v>
      </c>
      <c r="H605" s="13" t="n">
        <v>0</v>
      </c>
      <c r="I605" s="17" t="n">
        <f aca="false">IF(H605=1,D605,G605)</f>
        <v>101.334077603521</v>
      </c>
    </row>
    <row r="606" customFormat="false" ht="15" hidden="false" customHeight="false" outlineLevel="0" collapsed="false">
      <c r="A606" s="13" t="s">
        <v>236</v>
      </c>
      <c r="B606" s="13" t="s">
        <v>114</v>
      </c>
      <c r="C606" s="13" t="s">
        <v>120</v>
      </c>
      <c r="D606" s="15" t="n">
        <v>1</v>
      </c>
      <c r="E606" s="13" t="n">
        <v>0.93604</v>
      </c>
      <c r="F606" s="16" t="str">
        <f aca="false">IF(H606=1,"",D606/E606)</f>
        <v/>
      </c>
      <c r="G606" s="17" t="str">
        <f aca="false">IF(H606=1,"",D606/E606*Notas!$B$3)</f>
        <v/>
      </c>
      <c r="H606" s="13" t="n">
        <v>1</v>
      </c>
      <c r="I606" s="17" t="n">
        <f aca="false">IF(H606=1,D606,G606)</f>
        <v>1</v>
      </c>
    </row>
    <row r="607" customFormat="false" ht="15" hidden="false" customHeight="false" outlineLevel="0" collapsed="false">
      <c r="A607" s="13" t="s">
        <v>236</v>
      </c>
      <c r="B607" s="13" t="s">
        <v>114</v>
      </c>
      <c r="C607" s="13" t="s">
        <v>121</v>
      </c>
      <c r="D607" s="15" t="n">
        <v>0.32761</v>
      </c>
      <c r="E607" s="13" t="n">
        <v>0.93604</v>
      </c>
      <c r="F607" s="16" t="n">
        <f aca="false">IF(H607=1,"",D607/E607)</f>
        <v>0.349995726678347</v>
      </c>
      <c r="G607" s="17" t="n">
        <f aca="false">IF(H607=1,"",D607/E607*Notas!$B$3)</f>
        <v>33.249594034443</v>
      </c>
      <c r="H607" s="13" t="n">
        <v>0</v>
      </c>
      <c r="I607" s="17" t="n">
        <f aca="false">IF(H607=1,D607,G607)</f>
        <v>33.249594034443</v>
      </c>
    </row>
    <row r="608" customFormat="false" ht="15" hidden="false" customHeight="false" outlineLevel="0" collapsed="false">
      <c r="A608" s="13" t="s">
        <v>236</v>
      </c>
      <c r="B608" s="13" t="s">
        <v>114</v>
      </c>
      <c r="C608" s="13" t="s">
        <v>122</v>
      </c>
      <c r="D608" s="15" t="n">
        <v>0.23178</v>
      </c>
      <c r="E608" s="13" t="n">
        <v>0.93604</v>
      </c>
      <c r="F608" s="16" t="n">
        <f aca="false">IF(H608=1,"",D608/E608)</f>
        <v>0.247617623178497</v>
      </c>
      <c r="G608" s="17" t="n">
        <f aca="false">IF(H608=1,"",D608/E608*Notas!$B$3)</f>
        <v>23.5236742019572</v>
      </c>
      <c r="H608" s="13" t="n">
        <v>0</v>
      </c>
      <c r="I608" s="17" t="n">
        <f aca="false">IF(H608=1,D608,G608)</f>
        <v>23.5236742019572</v>
      </c>
    </row>
    <row r="609" customFormat="false" ht="15" hidden="false" customHeight="false" outlineLevel="0" collapsed="false">
      <c r="A609" s="13" t="s">
        <v>236</v>
      </c>
      <c r="B609" s="13" t="s">
        <v>114</v>
      </c>
      <c r="C609" s="13" t="s">
        <v>123</v>
      </c>
      <c r="D609" s="15" t="n">
        <v>0.19892</v>
      </c>
      <c r="E609" s="13" t="n">
        <v>0.93604</v>
      </c>
      <c r="F609" s="16" t="n">
        <f aca="false">IF(H609=1,"",D609/E609)</f>
        <v>0.212512285799752</v>
      </c>
      <c r="G609" s="17" t="n">
        <f aca="false">IF(H609=1,"",D609/E609*Notas!$B$3)</f>
        <v>20.1886671509765</v>
      </c>
      <c r="H609" s="13" t="n">
        <v>0</v>
      </c>
      <c r="I609" s="17" t="n">
        <f aca="false">IF(H609=1,D609,G609)</f>
        <v>20.1886671509765</v>
      </c>
    </row>
    <row r="610" customFormat="false" ht="15" hidden="false" customHeight="false" outlineLevel="0" collapsed="false">
      <c r="A610" s="13" t="s">
        <v>236</v>
      </c>
      <c r="B610" s="13" t="s">
        <v>114</v>
      </c>
      <c r="C610" s="13" t="s">
        <v>124</v>
      </c>
      <c r="D610" s="15" t="n">
        <v>0.72017</v>
      </c>
      <c r="E610" s="13" t="n">
        <v>0.93604</v>
      </c>
      <c r="F610" s="16" t="n">
        <f aca="false">IF(H610=1,"",D610/E610)</f>
        <v>0.769379513695996</v>
      </c>
      <c r="G610" s="17" t="n">
        <f aca="false">IF(H610=1,"",D610/E610*Notas!$B$3)</f>
        <v>73.0910538011196</v>
      </c>
      <c r="H610" s="13" t="n">
        <v>0</v>
      </c>
      <c r="I610" s="17" t="n">
        <f aca="false">IF(H610=1,D610,G610)</f>
        <v>73.0910538011196</v>
      </c>
    </row>
    <row r="611" customFormat="false" ht="15" hidden="false" customHeight="false" outlineLevel="0" collapsed="false">
      <c r="A611" s="13" t="s">
        <v>236</v>
      </c>
      <c r="B611" s="13" t="s">
        <v>114</v>
      </c>
      <c r="C611" s="13" t="s">
        <v>125</v>
      </c>
      <c r="D611" s="15" t="n">
        <v>0.23178</v>
      </c>
      <c r="E611" s="13" t="n">
        <v>0.93604</v>
      </c>
      <c r="F611" s="16" t="n">
        <f aca="false">IF(H611=1,"",D611/E611)</f>
        <v>0.247617623178497</v>
      </c>
      <c r="G611" s="17" t="n">
        <f aca="false">IF(H611=1,"",D611/E611*Notas!$B$3)</f>
        <v>23.5236742019572</v>
      </c>
      <c r="H611" s="13" t="n">
        <v>0</v>
      </c>
      <c r="I611" s="17" t="n">
        <f aca="false">IF(H611=1,D611,G611)</f>
        <v>23.5236742019572</v>
      </c>
    </row>
    <row r="612" customFormat="false" ht="15" hidden="false" customHeight="false" outlineLevel="0" collapsed="false">
      <c r="A612" s="13" t="s">
        <v>236</v>
      </c>
      <c r="B612" s="13" t="s">
        <v>114</v>
      </c>
      <c r="C612" s="13" t="s">
        <v>126</v>
      </c>
      <c r="D612" s="15" t="n">
        <v>1</v>
      </c>
      <c r="E612" s="13" t="n">
        <v>0.93604</v>
      </c>
      <c r="F612" s="16" t="str">
        <f aca="false">IF(H612=1,"",D612/E612)</f>
        <v/>
      </c>
      <c r="G612" s="17" t="str">
        <f aca="false">IF(H612=1,"",D612/E612*Notas!$B$3)</f>
        <v/>
      </c>
      <c r="H612" s="13" t="n">
        <v>1</v>
      </c>
      <c r="I612" s="17" t="n">
        <f aca="false">IF(H612=1,D612,G612)</f>
        <v>1</v>
      </c>
    </row>
    <row r="613" customFormat="false" ht="15" hidden="false" customHeight="false" outlineLevel="0" collapsed="false">
      <c r="A613" s="13" t="s">
        <v>236</v>
      </c>
      <c r="B613" s="13" t="s">
        <v>114</v>
      </c>
      <c r="C613" s="13" t="s">
        <v>127</v>
      </c>
      <c r="D613" s="15" t="n">
        <v>0.26939</v>
      </c>
      <c r="E613" s="13" t="n">
        <v>0.93604</v>
      </c>
      <c r="F613" s="16" t="n">
        <f aca="false">IF(H613=1,"",D613/E613)</f>
        <v>0.287797530020085</v>
      </c>
      <c r="G613" s="17" t="n">
        <f aca="false">IF(H613=1,"",D613/E613*Notas!$B$3)</f>
        <v>27.340765351908</v>
      </c>
      <c r="H613" s="13" t="n">
        <v>0</v>
      </c>
      <c r="I613" s="17" t="n">
        <f aca="false">IF(H613=1,D613,G613)</f>
        <v>27.340765351908</v>
      </c>
    </row>
    <row r="614" customFormat="false" ht="15" hidden="false" customHeight="false" outlineLevel="0" collapsed="false">
      <c r="A614" s="13" t="s">
        <v>236</v>
      </c>
      <c r="B614" s="13" t="s">
        <v>114</v>
      </c>
      <c r="C614" s="13" t="s">
        <v>128</v>
      </c>
      <c r="D614" s="15" t="n">
        <v>0.27188</v>
      </c>
      <c r="E614" s="13" t="n">
        <v>0.93604</v>
      </c>
      <c r="F614" s="16" t="n">
        <f aca="false">IF(H614=1,"",D614/E614)</f>
        <v>0.290457672749028</v>
      </c>
      <c r="G614" s="17" t="n">
        <f aca="false">IF(H614=1,"",D614/E614*Notas!$B$3)</f>
        <v>27.5934789111576</v>
      </c>
      <c r="H614" s="13" t="n">
        <v>0</v>
      </c>
      <c r="I614" s="17" t="n">
        <f aca="false">IF(H614=1,D614,G614)</f>
        <v>27.5934789111576</v>
      </c>
    </row>
    <row r="615" customFormat="false" ht="15" hidden="false" customHeight="false" outlineLevel="0" collapsed="false">
      <c r="A615" s="13" t="s">
        <v>236</v>
      </c>
      <c r="B615" s="13" t="s">
        <v>114</v>
      </c>
      <c r="C615" s="13" t="s">
        <v>129</v>
      </c>
      <c r="D615" s="15" t="n">
        <v>0.16755</v>
      </c>
      <c r="E615" s="13" t="n">
        <v>0.93604</v>
      </c>
      <c r="F615" s="16" t="n">
        <f aca="false">IF(H615=1,"",D615/E615)</f>
        <v>0.178998760736721</v>
      </c>
      <c r="G615" s="17" t="n">
        <f aca="false">IF(H615=1,"",D615/E615*Notas!$B$3)</f>
        <v>17.0048822699885</v>
      </c>
      <c r="H615" s="13" t="n">
        <v>0</v>
      </c>
      <c r="I615" s="17" t="n">
        <f aca="false">IF(H615=1,D615,G615)</f>
        <v>17.0048822699885</v>
      </c>
    </row>
    <row r="616" customFormat="false" ht="15" hidden="false" customHeight="false" outlineLevel="0" collapsed="false">
      <c r="A616" s="13" t="s">
        <v>236</v>
      </c>
      <c r="B616" s="13" t="s">
        <v>114</v>
      </c>
      <c r="C616" s="13" t="s">
        <v>130</v>
      </c>
      <c r="D616" s="15" t="n">
        <v>0.71188</v>
      </c>
      <c r="E616" s="13" t="n">
        <v>0.93604</v>
      </c>
      <c r="F616" s="16" t="n">
        <f aca="false">IF(H616=1,"",D616/E616)</f>
        <v>0.760523054570317</v>
      </c>
      <c r="G616" s="17" t="n">
        <f aca="false">IF(H616=1,"",D616/E616*Notas!$B$3)</f>
        <v>72.2496901841802</v>
      </c>
      <c r="H616" s="13" t="n">
        <v>0</v>
      </c>
      <c r="I616" s="17" t="n">
        <f aca="false">IF(H616=1,D616,G616)</f>
        <v>72.2496901841802</v>
      </c>
    </row>
    <row r="617" customFormat="false" ht="15" hidden="false" customHeight="false" outlineLevel="0" collapsed="false">
      <c r="A617" s="13" t="s">
        <v>236</v>
      </c>
      <c r="B617" s="13" t="s">
        <v>114</v>
      </c>
      <c r="C617" s="13" t="s">
        <v>131</v>
      </c>
      <c r="D617" s="15" t="n">
        <v>0.27188</v>
      </c>
      <c r="E617" s="13" t="n">
        <v>0.93604</v>
      </c>
      <c r="F617" s="16" t="n">
        <f aca="false">IF(H617=1,"",D617/E617)</f>
        <v>0.290457672749028</v>
      </c>
      <c r="G617" s="17" t="n">
        <f aca="false">IF(H617=1,"",D617/E617*Notas!$B$3)</f>
        <v>27.5934789111576</v>
      </c>
      <c r="H617" s="13" t="n">
        <v>0</v>
      </c>
      <c r="I617" s="17" t="n">
        <f aca="false">IF(H617=1,D617,G617)</f>
        <v>27.5934789111576</v>
      </c>
    </row>
    <row r="618" customFormat="false" ht="15" hidden="false" customHeight="false" outlineLevel="0" collapsed="false">
      <c r="A618" s="13" t="s">
        <v>236</v>
      </c>
      <c r="B618" s="13" t="s">
        <v>114</v>
      </c>
      <c r="C618" s="13" t="s">
        <v>132</v>
      </c>
      <c r="D618" s="15" t="n">
        <v>3</v>
      </c>
      <c r="E618" s="13" t="n">
        <v>0.93604</v>
      </c>
      <c r="F618" s="16" t="str">
        <f aca="false">IF(H618=1,"",D618/E618)</f>
        <v/>
      </c>
      <c r="G618" s="17" t="str">
        <f aca="false">IF(H618=1,"",D618/E618*Notas!$B$3)</f>
        <v/>
      </c>
      <c r="H618" s="13" t="n">
        <v>1</v>
      </c>
      <c r="I618" s="17" t="n">
        <f aca="false">IF(H618=1,D618,G618)</f>
        <v>3</v>
      </c>
    </row>
    <row r="619" customFormat="false" ht="15" hidden="false" customHeight="false" outlineLevel="0" collapsed="false">
      <c r="A619" s="13" t="s">
        <v>236</v>
      </c>
      <c r="B619" s="13" t="s">
        <v>114</v>
      </c>
      <c r="C619" s="13" t="s">
        <v>133</v>
      </c>
      <c r="D619" s="15" t="n">
        <v>0.4961</v>
      </c>
      <c r="E619" s="13" t="n">
        <v>0.93604</v>
      </c>
      <c r="F619" s="16" t="n">
        <f aca="false">IF(H619=1,"",D619/E619)</f>
        <v>0.529998718003504</v>
      </c>
      <c r="G619" s="17" t="n">
        <f aca="false">IF(H619=1,"",D619/E619*Notas!$B$3)</f>
        <v>50.3498782103329</v>
      </c>
      <c r="H619" s="13" t="n">
        <v>0</v>
      </c>
      <c r="I619" s="17" t="n">
        <f aca="false">IF(H619=1,D619,G619)</f>
        <v>50.3498782103329</v>
      </c>
    </row>
    <row r="620" customFormat="false" ht="15" hidden="false" customHeight="false" outlineLevel="0" collapsed="false">
      <c r="A620" s="13" t="s">
        <v>236</v>
      </c>
      <c r="B620" s="13" t="s">
        <v>114</v>
      </c>
      <c r="C620" s="13" t="s">
        <v>134</v>
      </c>
      <c r="D620" s="15" t="n">
        <v>0.5825</v>
      </c>
      <c r="E620" s="13" t="n">
        <v>0.93604</v>
      </c>
      <c r="F620" s="16" t="n">
        <f aca="false">IF(H620=1,"",D620/E620)</f>
        <v>0.622302465706594</v>
      </c>
      <c r="G620" s="17" t="n">
        <f aca="false">IF(H620=1,"",D620/E620*Notas!$B$3)</f>
        <v>59.1187342421264</v>
      </c>
      <c r="H620" s="13" t="n">
        <v>0</v>
      </c>
      <c r="I620" s="17" t="n">
        <f aca="false">IF(H620=1,D620,G620)</f>
        <v>59.1187342421264</v>
      </c>
    </row>
    <row r="621" customFormat="false" ht="15" hidden="false" customHeight="false" outlineLevel="0" collapsed="false">
      <c r="A621" s="13" t="s">
        <v>236</v>
      </c>
      <c r="B621" s="13" t="s">
        <v>114</v>
      </c>
      <c r="C621" s="13" t="s">
        <v>135</v>
      </c>
      <c r="D621" s="15" t="n">
        <v>0.11814</v>
      </c>
      <c r="E621" s="13" t="n">
        <v>0.93604</v>
      </c>
      <c r="F621" s="16" t="n">
        <f aca="false">IF(H621=1,"",D621/E621)</f>
        <v>0.126212555019016</v>
      </c>
      <c r="G621" s="17" t="n">
        <f aca="false">IF(H621=1,"",D621/E621*Notas!$B$3)</f>
        <v>11.9901927268065</v>
      </c>
      <c r="H621" s="13" t="n">
        <v>0</v>
      </c>
      <c r="I621" s="17" t="n">
        <f aca="false">IF(H621=1,D621,G621)</f>
        <v>11.9901927268065</v>
      </c>
    </row>
    <row r="622" customFormat="false" ht="15" hidden="false" customHeight="false" outlineLevel="0" collapsed="false">
      <c r="A622" s="13" t="s">
        <v>236</v>
      </c>
      <c r="B622" s="13" t="s">
        <v>114</v>
      </c>
      <c r="C622" s="13" t="s">
        <v>136</v>
      </c>
      <c r="D622" s="15" t="n">
        <v>1.47805</v>
      </c>
      <c r="E622" s="13" t="n">
        <v>0.93604</v>
      </c>
      <c r="F622" s="16" t="n">
        <f aca="false">IF(H622=1,"",D622/E622)</f>
        <v>1.5790457672749</v>
      </c>
      <c r="G622" s="17" t="n">
        <f aca="false">IF(H622=1,"",D622/E622*Notas!$B$3)</f>
        <v>150.009347891116</v>
      </c>
      <c r="H622" s="13" t="n">
        <v>0</v>
      </c>
      <c r="I622" s="17" t="n">
        <f aca="false">IF(H622=1,D622,G622)</f>
        <v>150.009347891116</v>
      </c>
    </row>
    <row r="623" customFormat="false" ht="15" hidden="false" customHeight="false" outlineLevel="0" collapsed="false">
      <c r="A623" s="13" t="s">
        <v>236</v>
      </c>
      <c r="B623" s="13" t="s">
        <v>114</v>
      </c>
      <c r="C623" s="13" t="s">
        <v>137</v>
      </c>
      <c r="D623" s="15" t="n">
        <v>0.5825</v>
      </c>
      <c r="E623" s="13" t="n">
        <v>0.93604</v>
      </c>
      <c r="F623" s="16" t="n">
        <f aca="false">IF(H623=1,"",D623/E623)</f>
        <v>0.622302465706594</v>
      </c>
      <c r="G623" s="17" t="n">
        <f aca="false">IF(H623=1,"",D623/E623*Notas!$B$3)</f>
        <v>59.1187342421264</v>
      </c>
      <c r="H623" s="13" t="n">
        <v>0</v>
      </c>
      <c r="I623" s="17" t="n">
        <f aca="false">IF(H623=1,D623,G623)</f>
        <v>59.1187342421264</v>
      </c>
    </row>
    <row r="624" customFormat="false" ht="15" hidden="false" customHeight="false" outlineLevel="0" collapsed="false">
      <c r="A624" s="13" t="s">
        <v>236</v>
      </c>
      <c r="B624" s="13" t="s">
        <v>114</v>
      </c>
      <c r="C624" s="13" t="s">
        <v>138</v>
      </c>
      <c r="D624" s="15" t="n">
        <v>3</v>
      </c>
      <c r="E624" s="13" t="n">
        <v>0.93604</v>
      </c>
      <c r="F624" s="16" t="str">
        <f aca="false">IF(H624=1,"",D624/E624)</f>
        <v/>
      </c>
      <c r="G624" s="17" t="str">
        <f aca="false">IF(H624=1,"",D624/E624*Notas!$B$3)</f>
        <v/>
      </c>
      <c r="H624" s="13" t="n">
        <v>1</v>
      </c>
      <c r="I624" s="17" t="n">
        <f aca="false">IF(H624=1,D624,G624)</f>
        <v>3</v>
      </c>
    </row>
    <row r="625" customFormat="false" ht="15" hidden="false" customHeight="false" outlineLevel="0" collapsed="false">
      <c r="A625" s="13" t="s">
        <v>236</v>
      </c>
      <c r="B625" s="13" t="s">
        <v>139</v>
      </c>
      <c r="C625" s="13" t="s">
        <v>140</v>
      </c>
      <c r="D625" s="15" t="n">
        <v>0.04771</v>
      </c>
      <c r="E625" s="13" t="n">
        <v>0.93604</v>
      </c>
      <c r="F625" s="16" t="n">
        <f aca="false">IF(H625=1,"",D625/E625)</f>
        <v>0.050970044015213</v>
      </c>
      <c r="G625" s="17" t="n">
        <f aca="false">IF(H625=1,"",D625/E625*Notas!$B$3)</f>
        <v>4.84215418144524</v>
      </c>
      <c r="H625" s="13" t="n">
        <v>0</v>
      </c>
      <c r="I625" s="17" t="n">
        <f aca="false">IF(H625=1,D625,G625)</f>
        <v>4.84215418144524</v>
      </c>
    </row>
    <row r="626" customFormat="false" ht="15" hidden="false" customHeight="false" outlineLevel="0" collapsed="false">
      <c r="A626" s="13" t="s">
        <v>236</v>
      </c>
      <c r="B626" s="13" t="s">
        <v>139</v>
      </c>
      <c r="C626" s="13" t="s">
        <v>141</v>
      </c>
      <c r="D626" s="15" t="n">
        <v>0.06118</v>
      </c>
      <c r="E626" s="13" t="n">
        <v>0.93604</v>
      </c>
      <c r="F626" s="16" t="n">
        <f aca="false">IF(H626=1,"",D626/E626)</f>
        <v>0.0653604546814239</v>
      </c>
      <c r="G626" s="17" t="n">
        <f aca="false">IF(H626=1,"",D626/E626*Notas!$B$3)</f>
        <v>6.20924319473527</v>
      </c>
      <c r="H626" s="13" t="n">
        <v>0</v>
      </c>
      <c r="I626" s="17" t="n">
        <f aca="false">IF(H626=1,D626,G626)</f>
        <v>6.20924319473527</v>
      </c>
    </row>
    <row r="627" customFormat="false" ht="15" hidden="false" customHeight="false" outlineLevel="0" collapsed="false">
      <c r="A627" s="13" t="s">
        <v>236</v>
      </c>
      <c r="B627" s="13" t="s">
        <v>139</v>
      </c>
      <c r="C627" s="13" t="s">
        <v>142</v>
      </c>
      <c r="D627" s="15" t="n">
        <v>0.01418</v>
      </c>
      <c r="E627" s="13" t="n">
        <v>0.93604</v>
      </c>
      <c r="F627" s="16" t="n">
        <f aca="false">IF(H627=1,"",D627/E627)</f>
        <v>0.0151489252596043</v>
      </c>
      <c r="G627" s="17" t="n">
        <f aca="false">IF(H627=1,"",D627/E627*Notas!$B$3)</f>
        <v>1.43914789966241</v>
      </c>
      <c r="H627" s="13" t="n">
        <v>0</v>
      </c>
      <c r="I627" s="17" t="n">
        <f aca="false">IF(H627=1,D627,G627)</f>
        <v>1.43914789966241</v>
      </c>
    </row>
    <row r="628" customFormat="false" ht="15" hidden="false" customHeight="false" outlineLevel="0" collapsed="false">
      <c r="A628" s="13" t="s">
        <v>236</v>
      </c>
      <c r="B628" s="13" t="s">
        <v>143</v>
      </c>
      <c r="C628" s="13" t="s">
        <v>144</v>
      </c>
      <c r="D628" s="15" t="n">
        <v>0.33849</v>
      </c>
      <c r="E628" s="13" t="n">
        <v>0.93604</v>
      </c>
      <c r="F628" s="16" t="n">
        <f aca="false">IF(H628=1,"",D628/E628)</f>
        <v>0.361619161574292</v>
      </c>
      <c r="G628" s="17" t="n">
        <f aca="false">IF(H628=1,"",D628/E628*Notas!$B$3)</f>
        <v>34.3538203495577</v>
      </c>
      <c r="H628" s="13" t="n">
        <v>0</v>
      </c>
      <c r="I628" s="17" t="n">
        <f aca="false">IF(H628=1,D628,G628)</f>
        <v>34.3538203495577</v>
      </c>
    </row>
    <row r="629" customFormat="false" ht="15" hidden="false" customHeight="false" outlineLevel="0" collapsed="false">
      <c r="A629" s="13" t="s">
        <v>236</v>
      </c>
      <c r="B629" s="13" t="s">
        <v>143</v>
      </c>
      <c r="C629" s="13" t="s">
        <v>145</v>
      </c>
      <c r="D629" s="15" t="n">
        <v>0.29078</v>
      </c>
      <c r="E629" s="13" t="n">
        <v>0.93604</v>
      </c>
      <c r="F629" s="16" t="n">
        <f aca="false">IF(H629=1,"",D629/E629)</f>
        <v>0.310649117559079</v>
      </c>
      <c r="G629" s="17" t="n">
        <f aca="false">IF(H629=1,"",D629/E629*Notas!$B$3)</f>
        <v>29.5116661681125</v>
      </c>
      <c r="H629" s="13" t="n">
        <v>0</v>
      </c>
      <c r="I629" s="17" t="n">
        <f aca="false">IF(H629=1,D629,G629)</f>
        <v>29.5116661681125</v>
      </c>
    </row>
    <row r="630" customFormat="false" ht="15" hidden="false" customHeight="false" outlineLevel="0" collapsed="false">
      <c r="A630" s="13" t="s">
        <v>236</v>
      </c>
      <c r="B630" s="13" t="s">
        <v>143</v>
      </c>
      <c r="C630" s="13" t="s">
        <v>146</v>
      </c>
      <c r="D630" s="15" t="n">
        <v>0.20672</v>
      </c>
      <c r="E630" s="13" t="n">
        <v>0.93604</v>
      </c>
      <c r="F630" s="16" t="n">
        <f aca="false">IF(H630=1,"",D630/E630)</f>
        <v>0.220845263022948</v>
      </c>
      <c r="G630" s="17" t="n">
        <f aca="false">IF(H630=1,"",D630/E630*Notas!$B$3)</f>
        <v>20.98029998718</v>
      </c>
      <c r="H630" s="13" t="n">
        <v>0</v>
      </c>
      <c r="I630" s="17" t="n">
        <f aca="false">IF(H630=1,D630,G630)</f>
        <v>20.98029998718</v>
      </c>
    </row>
    <row r="631" customFormat="false" ht="15" hidden="false" customHeight="false" outlineLevel="0" collapsed="false">
      <c r="A631" s="13" t="s">
        <v>236</v>
      </c>
      <c r="B631" s="13" t="s">
        <v>143</v>
      </c>
      <c r="C631" s="13" t="s">
        <v>147</v>
      </c>
      <c r="D631" s="15" t="n">
        <v>0.15901</v>
      </c>
      <c r="E631" s="13" t="n">
        <v>0.93604</v>
      </c>
      <c r="F631" s="16" t="n">
        <f aca="false">IF(H631=1,"",D631/E631)</f>
        <v>0.169875219007735</v>
      </c>
      <c r="G631" s="17" t="n">
        <f aca="false">IF(H631=1,"",D631/E631*Notas!$B$3)</f>
        <v>16.1381458057348</v>
      </c>
      <c r="H631" s="13" t="n">
        <v>0</v>
      </c>
      <c r="I631" s="17" t="n">
        <f aca="false">IF(H631=1,D631,G631)</f>
        <v>16.1381458057348</v>
      </c>
    </row>
    <row r="632" customFormat="false" ht="15" hidden="false" customHeight="false" outlineLevel="0" collapsed="false">
      <c r="A632" s="13" t="s">
        <v>236</v>
      </c>
      <c r="B632" s="13" t="s">
        <v>143</v>
      </c>
      <c r="C632" s="13" t="s">
        <v>148</v>
      </c>
      <c r="D632" s="15" t="n">
        <v>0.12512</v>
      </c>
      <c r="E632" s="13" t="n">
        <v>0.93604</v>
      </c>
      <c r="F632" s="16" t="n">
        <f aca="false">IF(H632=1,"",D632/E632)</f>
        <v>0.133669501303363</v>
      </c>
      <c r="G632" s="17" t="n">
        <f aca="false">IF(H632=1,"",D632/E632*Notas!$B$3)</f>
        <v>12.6986026238195</v>
      </c>
      <c r="H632" s="13" t="n">
        <v>0</v>
      </c>
      <c r="I632" s="17" t="n">
        <f aca="false">IF(H632=1,D632,G632)</f>
        <v>12.6986026238195</v>
      </c>
    </row>
    <row r="633" customFormat="false" ht="15" hidden="false" customHeight="false" outlineLevel="0" collapsed="false">
      <c r="A633" s="13" t="s">
        <v>236</v>
      </c>
      <c r="B633" s="13" t="s">
        <v>143</v>
      </c>
      <c r="C633" s="13" t="s">
        <v>149</v>
      </c>
      <c r="D633" s="15" t="n">
        <v>0.14281</v>
      </c>
      <c r="E633" s="13" t="n">
        <v>0.93604</v>
      </c>
      <c r="F633" s="16" t="n">
        <f aca="false">IF(H633=1,"",D633/E633)</f>
        <v>0.152568266313405</v>
      </c>
      <c r="G633" s="17" t="n">
        <f aca="false">IF(H633=1,"",D633/E633*Notas!$B$3)</f>
        <v>14.4939852997735</v>
      </c>
      <c r="H633" s="13" t="n">
        <v>0</v>
      </c>
      <c r="I633" s="17" t="n">
        <f aca="false">IF(H633=1,D633,G633)</f>
        <v>14.4939852997735</v>
      </c>
    </row>
    <row r="634" customFormat="false" ht="15" hidden="false" customHeight="false" outlineLevel="0" collapsed="false">
      <c r="A634" s="13" t="s">
        <v>236</v>
      </c>
      <c r="B634" s="13" t="s">
        <v>143</v>
      </c>
      <c r="C634" s="13" t="s">
        <v>150</v>
      </c>
      <c r="D634" s="15" t="n">
        <v>0.44663</v>
      </c>
      <c r="E634" s="13" t="n">
        <v>0.93604</v>
      </c>
      <c r="F634" s="16" t="n">
        <f aca="false">IF(H634=1,"",D634/E634)</f>
        <v>0.477148412461006</v>
      </c>
      <c r="G634" s="17" t="n">
        <f aca="false">IF(H634=1,"",D634/E634*Notas!$B$3)</f>
        <v>45.3290991837956</v>
      </c>
      <c r="H634" s="13" t="n">
        <v>0</v>
      </c>
      <c r="I634" s="17" t="n">
        <f aca="false">IF(H634=1,D634,G634)</f>
        <v>45.3290991837956</v>
      </c>
    </row>
    <row r="635" customFormat="false" ht="15" hidden="false" customHeight="false" outlineLevel="0" collapsed="false">
      <c r="A635" s="13" t="s">
        <v>236</v>
      </c>
      <c r="B635" s="13" t="s">
        <v>143</v>
      </c>
      <c r="C635" s="13" t="s">
        <v>151</v>
      </c>
      <c r="D635" s="15" t="n">
        <v>0.50919</v>
      </c>
      <c r="E635" s="13" t="n">
        <v>0.93604</v>
      </c>
      <c r="F635" s="16" t="n">
        <f aca="false">IF(H635=1,"",D635/E635)</f>
        <v>0.543983163112688</v>
      </c>
      <c r="G635" s="17" t="n">
        <f aca="false">IF(H635=1,"",D635/E635*Notas!$B$3)</f>
        <v>51.6784004957053</v>
      </c>
      <c r="H635" s="13" t="n">
        <v>0</v>
      </c>
      <c r="I635" s="17" t="n">
        <f aca="false">IF(H635=1,D635,G635)</f>
        <v>51.6784004957053</v>
      </c>
    </row>
    <row r="636" customFormat="false" ht="15" hidden="false" customHeight="false" outlineLevel="0" collapsed="false">
      <c r="A636" s="13" t="s">
        <v>236</v>
      </c>
      <c r="B636" s="13" t="s">
        <v>143</v>
      </c>
      <c r="C636" s="13" t="s">
        <v>152</v>
      </c>
      <c r="D636" s="15" t="n">
        <v>0.38407</v>
      </c>
      <c r="E636" s="13" t="n">
        <v>0.93604</v>
      </c>
      <c r="F636" s="16" t="n">
        <f aca="false">IF(H636=1,"",D636/E636)</f>
        <v>0.410313661809324</v>
      </c>
      <c r="G636" s="17" t="n">
        <f aca="false">IF(H636=1,"",D636/E636*Notas!$B$3)</f>
        <v>38.9797978718858</v>
      </c>
      <c r="H636" s="13" t="n">
        <v>0</v>
      </c>
      <c r="I636" s="17" t="n">
        <f aca="false">IF(H636=1,D636,G636)</f>
        <v>38.9797978718858</v>
      </c>
    </row>
    <row r="637" customFormat="false" ht="15" hidden="false" customHeight="false" outlineLevel="0" collapsed="false">
      <c r="A637" s="13" t="s">
        <v>236</v>
      </c>
      <c r="B637" s="13" t="s">
        <v>143</v>
      </c>
      <c r="C637" s="13" t="s">
        <v>153</v>
      </c>
      <c r="D637" s="15" t="n">
        <v>0.10621</v>
      </c>
      <c r="E637" s="13" t="n">
        <v>0.93604</v>
      </c>
      <c r="F637" s="16" t="n">
        <f aca="false">IF(H637=1,"",D637/E637)</f>
        <v>0.11346737318918</v>
      </c>
      <c r="G637" s="17" t="n">
        <f aca="false">IF(H637=1,"",D637/E637*Notas!$B$3)</f>
        <v>10.7794004529721</v>
      </c>
      <c r="H637" s="13" t="n">
        <v>0</v>
      </c>
      <c r="I637" s="17" t="n">
        <f aca="false">IF(H637=1,D637,G637)</f>
        <v>10.7794004529721</v>
      </c>
    </row>
    <row r="638" customFormat="false" ht="15" hidden="false" customHeight="false" outlineLevel="0" collapsed="false">
      <c r="A638" s="13" t="s">
        <v>236</v>
      </c>
      <c r="B638" s="13" t="s">
        <v>143</v>
      </c>
      <c r="C638" s="13" t="s">
        <v>154</v>
      </c>
      <c r="D638" s="15" t="n">
        <v>0.09055</v>
      </c>
      <c r="E638" s="13" t="n">
        <v>0.93604</v>
      </c>
      <c r="F638" s="16" t="n">
        <f aca="false">IF(H638=1,"",D638/E638)</f>
        <v>0.096737318917995</v>
      </c>
      <c r="G638" s="17" t="n">
        <f aca="false">IF(H638=1,"",D638/E638*Notas!$B$3)</f>
        <v>9.19004529720952</v>
      </c>
      <c r="H638" s="13" t="n">
        <v>0</v>
      </c>
      <c r="I638" s="17" t="n">
        <f aca="false">IF(H638=1,D638,G638)</f>
        <v>9.19004529720952</v>
      </c>
    </row>
    <row r="639" customFormat="false" ht="15" hidden="false" customHeight="false" outlineLevel="0" collapsed="false">
      <c r="A639" s="13" t="s">
        <v>236</v>
      </c>
      <c r="B639" s="13" t="s">
        <v>143</v>
      </c>
      <c r="C639" s="13" t="s">
        <v>155</v>
      </c>
      <c r="D639" s="15" t="n">
        <v>0.31328</v>
      </c>
      <c r="E639" s="13" t="n">
        <v>0.93604</v>
      </c>
      <c r="F639" s="16" t="n">
        <f aca="false">IF(H639=1,"",D639/E639)</f>
        <v>0.334686551856758</v>
      </c>
      <c r="G639" s="17" t="n">
        <f aca="false">IF(H639=1,"",D639/E639*Notas!$B$3)</f>
        <v>31.795222426392</v>
      </c>
      <c r="H639" s="13" t="n">
        <v>0</v>
      </c>
      <c r="I639" s="17" t="n">
        <f aca="false">IF(H639=1,D639,G639)</f>
        <v>31.795222426392</v>
      </c>
    </row>
    <row r="640" customFormat="false" ht="15" hidden="false" customHeight="false" outlineLevel="0" collapsed="false">
      <c r="A640" s="13" t="s">
        <v>236</v>
      </c>
      <c r="B640" s="13" t="s">
        <v>143</v>
      </c>
      <c r="C640" s="13" t="s">
        <v>156</v>
      </c>
      <c r="D640" s="15" t="n">
        <v>0.104</v>
      </c>
      <c r="E640" s="13" t="n">
        <v>0.93604</v>
      </c>
      <c r="F640" s="16" t="n">
        <f aca="false">IF(H640=1,"",D640/E640)</f>
        <v>0.111106362975941</v>
      </c>
      <c r="G640" s="17" t="n">
        <f aca="false">IF(H640=1,"",D640/E640*Notas!$B$3)</f>
        <v>10.5551044827144</v>
      </c>
      <c r="H640" s="13" t="n">
        <v>0</v>
      </c>
      <c r="I640" s="17" t="n">
        <f aca="false">IF(H640=1,D640,G640)</f>
        <v>10.5551044827144</v>
      </c>
    </row>
    <row r="641" customFormat="false" ht="15" hidden="false" customHeight="false" outlineLevel="0" collapsed="false">
      <c r="A641" s="13" t="s">
        <v>236</v>
      </c>
      <c r="B641" s="13" t="s">
        <v>143</v>
      </c>
      <c r="C641" s="13" t="s">
        <v>157</v>
      </c>
      <c r="D641" s="15" t="n">
        <v>0.08737</v>
      </c>
      <c r="E641" s="13" t="n">
        <v>0.93604</v>
      </c>
      <c r="F641" s="16" t="n">
        <f aca="false">IF(H641=1,"",D641/E641)</f>
        <v>0.0933400282039229</v>
      </c>
      <c r="G641" s="17" t="n">
        <f aca="false">IF(H641=1,"",D641/E641*Notas!$B$3)</f>
        <v>8.86730267937268</v>
      </c>
      <c r="H641" s="13" t="n">
        <v>0</v>
      </c>
      <c r="I641" s="17" t="n">
        <f aca="false">IF(H641=1,D641,G641)</f>
        <v>8.86730267937268</v>
      </c>
    </row>
    <row r="642" customFormat="false" ht="15" hidden="false" customHeight="false" outlineLevel="0" collapsed="false">
      <c r="A642" s="13" t="s">
        <v>236</v>
      </c>
      <c r="B642" s="13" t="s">
        <v>143</v>
      </c>
      <c r="C642" s="13" t="s">
        <v>158</v>
      </c>
      <c r="D642" s="15" t="n">
        <v>0.30198</v>
      </c>
      <c r="E642" s="13" t="n">
        <v>0.93604</v>
      </c>
      <c r="F642" s="16" t="n">
        <f aca="false">IF(H642=1,"",D642/E642)</f>
        <v>0.322614418187257</v>
      </c>
      <c r="G642" s="17" t="n">
        <f aca="false">IF(H642=1,"",D642/E642*Notas!$B$3)</f>
        <v>30.6483697277894</v>
      </c>
      <c r="H642" s="13" t="n">
        <v>0</v>
      </c>
      <c r="I642" s="17" t="n">
        <f aca="false">IF(H642=1,D642,G642)</f>
        <v>30.6483697277894</v>
      </c>
    </row>
    <row r="643" customFormat="false" ht="15" hidden="false" customHeight="false" outlineLevel="0" collapsed="false">
      <c r="A643" s="13" t="s">
        <v>236</v>
      </c>
      <c r="B643" s="13" t="s">
        <v>143</v>
      </c>
      <c r="C643" s="13" t="s">
        <v>159</v>
      </c>
      <c r="D643" s="15" t="n">
        <v>0.99904</v>
      </c>
      <c r="E643" s="13" t="n">
        <v>0.93604</v>
      </c>
      <c r="F643" s="16" t="n">
        <f aca="false">IF(H643=1,"",D643/E643)</f>
        <v>1.0673048160335</v>
      </c>
      <c r="G643" s="17" t="n">
        <f aca="false">IF(H643=1,"",D643/E643*Notas!$B$3)</f>
        <v>101.393957523183</v>
      </c>
      <c r="H643" s="13" t="n">
        <v>0</v>
      </c>
      <c r="I643" s="17" t="n">
        <f aca="false">IF(H643=1,D643,G643)</f>
        <v>101.393957523183</v>
      </c>
    </row>
    <row r="644" customFormat="false" ht="15" hidden="false" customHeight="false" outlineLevel="0" collapsed="false">
      <c r="A644" s="13" t="s">
        <v>236</v>
      </c>
      <c r="B644" s="13" t="s">
        <v>139</v>
      </c>
      <c r="C644" s="13" t="s">
        <v>160</v>
      </c>
      <c r="D644" s="15" t="n">
        <v>0.0488</v>
      </c>
      <c r="E644" s="13" t="n">
        <v>0.93604</v>
      </c>
      <c r="F644" s="16" t="n">
        <f aca="false">IF(H644=1,"",D644/E644)</f>
        <v>0.052134524165634</v>
      </c>
      <c r="G644" s="17" t="n">
        <f aca="false">IF(H644=1,"",D644/E644*Notas!$B$3)</f>
        <v>4.95277979573523</v>
      </c>
      <c r="H644" s="13" t="n">
        <v>0</v>
      </c>
      <c r="I644" s="17" t="n">
        <f aca="false">IF(H644=1,D644,G644)</f>
        <v>4.95277979573523</v>
      </c>
    </row>
    <row r="645" customFormat="false" ht="15" hidden="false" customHeight="false" outlineLevel="0" collapsed="false">
      <c r="A645" s="13" t="s">
        <v>236</v>
      </c>
      <c r="B645" s="13" t="s">
        <v>139</v>
      </c>
      <c r="C645" s="13" t="s">
        <v>161</v>
      </c>
      <c r="D645" s="15" t="n">
        <v>0.06453</v>
      </c>
      <c r="E645" s="13" t="n">
        <v>0.93604</v>
      </c>
      <c r="F645" s="16" t="n">
        <f aca="false">IF(H645=1,"",D645/E645)</f>
        <v>0.0689393615657451</v>
      </c>
      <c r="G645" s="17" t="n">
        <f aca="false">IF(H645=1,"",D645/E645*Notas!$B$3)</f>
        <v>6.54923934874578</v>
      </c>
      <c r="H645" s="13" t="n">
        <v>0</v>
      </c>
      <c r="I645" s="17" t="n">
        <f aca="false">IF(H645=1,D645,G645)</f>
        <v>6.54923934874578</v>
      </c>
    </row>
    <row r="646" customFormat="false" ht="15" hidden="false" customHeight="false" outlineLevel="0" collapsed="false">
      <c r="A646" s="13" t="s">
        <v>236</v>
      </c>
      <c r="B646" s="13" t="s">
        <v>139</v>
      </c>
      <c r="C646" s="13" t="s">
        <v>162</v>
      </c>
      <c r="D646" s="15" t="n">
        <v>0.01523</v>
      </c>
      <c r="E646" s="13" t="n">
        <v>0.93604</v>
      </c>
      <c r="F646" s="16" t="n">
        <f aca="false">IF(H646=1,"",D646/E646)</f>
        <v>0.016270672193496</v>
      </c>
      <c r="G646" s="17" t="n">
        <f aca="false">IF(H646=1,"",D646/E646*Notas!$B$3)</f>
        <v>1.54571385838212</v>
      </c>
      <c r="H646" s="13" t="n">
        <v>0</v>
      </c>
      <c r="I646" s="17" t="n">
        <f aca="false">IF(H646=1,D646,G646)</f>
        <v>1.54571385838212</v>
      </c>
    </row>
    <row r="647" customFormat="false" ht="15" hidden="false" customHeight="false" outlineLevel="0" collapsed="false">
      <c r="A647" s="13" t="s">
        <v>236</v>
      </c>
      <c r="B647" s="13" t="s">
        <v>143</v>
      </c>
      <c r="C647" s="13" t="s">
        <v>163</v>
      </c>
      <c r="D647" s="15" t="n">
        <v>0.33918</v>
      </c>
      <c r="E647" s="13" t="n">
        <v>0.93604</v>
      </c>
      <c r="F647" s="16" t="n">
        <f aca="false">IF(H647=1,"",D647/E647)</f>
        <v>0.362356309559421</v>
      </c>
      <c r="G647" s="17" t="n">
        <f aca="false">IF(H647=1,"",D647/E647*Notas!$B$3)</f>
        <v>34.4238494081449</v>
      </c>
      <c r="H647" s="13" t="n">
        <v>0</v>
      </c>
      <c r="I647" s="17" t="n">
        <f aca="false">IF(H647=1,D647,G647)</f>
        <v>34.4238494081449</v>
      </c>
    </row>
    <row r="648" customFormat="false" ht="15" hidden="false" customHeight="false" outlineLevel="0" collapsed="false">
      <c r="A648" s="13" t="s">
        <v>236</v>
      </c>
      <c r="B648" s="13" t="s">
        <v>143</v>
      </c>
      <c r="C648" s="13" t="s">
        <v>164</v>
      </c>
      <c r="D648" s="15" t="n">
        <v>0.29037</v>
      </c>
      <c r="E648" s="13" t="n">
        <v>0.93604</v>
      </c>
      <c r="F648" s="16" t="n">
        <f aca="false">IF(H648=1,"",D648/E648)</f>
        <v>0.310211102089654</v>
      </c>
      <c r="G648" s="17" t="n">
        <f aca="false">IF(H648=1,"",D648/E648*Notas!$B$3)</f>
        <v>29.4700546985172</v>
      </c>
      <c r="H648" s="13" t="n">
        <v>0</v>
      </c>
      <c r="I648" s="17" t="n">
        <f aca="false">IF(H648=1,D648,G648)</f>
        <v>29.4700546985172</v>
      </c>
    </row>
    <row r="649" customFormat="false" ht="15" hidden="false" customHeight="false" outlineLevel="0" collapsed="false">
      <c r="A649" s="13" t="s">
        <v>236</v>
      </c>
      <c r="B649" s="13" t="s">
        <v>143</v>
      </c>
      <c r="C649" s="13" t="s">
        <v>165</v>
      </c>
      <c r="D649" s="15" t="n">
        <v>0.20741</v>
      </c>
      <c r="E649" s="13" t="n">
        <v>0.93604</v>
      </c>
      <c r="F649" s="16" t="n">
        <f aca="false">IF(H649=1,"",D649/E649)</f>
        <v>0.221582411008077</v>
      </c>
      <c r="G649" s="17" t="n">
        <f aca="false">IF(H649=1,"",D649/E649*Notas!$B$3)</f>
        <v>21.0503290457673</v>
      </c>
      <c r="H649" s="13" t="n">
        <v>0</v>
      </c>
      <c r="I649" s="17" t="n">
        <f aca="false">IF(H649=1,D649,G649)</f>
        <v>21.0503290457673</v>
      </c>
    </row>
    <row r="650" customFormat="false" ht="15" hidden="false" customHeight="false" outlineLevel="0" collapsed="false">
      <c r="A650" s="13" t="s">
        <v>236</v>
      </c>
      <c r="B650" s="13" t="s">
        <v>143</v>
      </c>
      <c r="C650" s="13" t="s">
        <v>166</v>
      </c>
      <c r="D650" s="15" t="n">
        <v>0.15861</v>
      </c>
      <c r="E650" s="13" t="n">
        <v>0.93604</v>
      </c>
      <c r="F650" s="16" t="n">
        <f aca="false">IF(H650=1,"",D650/E650)</f>
        <v>0.169447886842443</v>
      </c>
      <c r="G650" s="17" t="n">
        <f aca="false">IF(H650=1,"",D650/E650*Notas!$B$3)</f>
        <v>16.0975492500321</v>
      </c>
      <c r="H650" s="13" t="n">
        <v>0</v>
      </c>
      <c r="I650" s="17" t="n">
        <f aca="false">IF(H650=1,D650,G650)</f>
        <v>16.0975492500321</v>
      </c>
    </row>
    <row r="651" customFormat="false" ht="15" hidden="false" customHeight="false" outlineLevel="0" collapsed="false">
      <c r="A651" s="13" t="s">
        <v>236</v>
      </c>
      <c r="B651" s="13" t="s">
        <v>143</v>
      </c>
      <c r="C651" s="13" t="s">
        <v>167</v>
      </c>
      <c r="D651" s="15" t="n">
        <v>0.12608</v>
      </c>
      <c r="E651" s="13" t="n">
        <v>0.93604</v>
      </c>
      <c r="F651" s="16" t="n">
        <f aca="false">IF(H651=1,"",D651/E651)</f>
        <v>0.134695098500064</v>
      </c>
      <c r="G651" s="17" t="n">
        <f aca="false">IF(H651=1,"",D651/E651*Notas!$B$3)</f>
        <v>12.7960343575061</v>
      </c>
      <c r="H651" s="13" t="n">
        <v>0</v>
      </c>
      <c r="I651" s="17" t="n">
        <f aca="false">IF(H651=1,D651,G651)</f>
        <v>12.7960343575061</v>
      </c>
    </row>
    <row r="652" customFormat="false" ht="15" hidden="false" customHeight="false" outlineLevel="0" collapsed="false">
      <c r="A652" s="13" t="s">
        <v>236</v>
      </c>
      <c r="B652" s="13" t="s">
        <v>143</v>
      </c>
      <c r="C652" s="13" t="s">
        <v>168</v>
      </c>
      <c r="D652" s="15" t="n">
        <v>0.14374</v>
      </c>
      <c r="E652" s="13" t="n">
        <v>0.93604</v>
      </c>
      <c r="F652" s="16" t="n">
        <f aca="false">IF(H652=1,"",D652/E652)</f>
        <v>0.15356181359771</v>
      </c>
      <c r="G652" s="17" t="n">
        <f aca="false">IF(H652=1,"",D652/E652*Notas!$B$3)</f>
        <v>14.5883722917824</v>
      </c>
      <c r="H652" s="13" t="n">
        <v>0</v>
      </c>
      <c r="I652" s="17" t="n">
        <f aca="false">IF(H652=1,D652,G652)</f>
        <v>14.5883722917824</v>
      </c>
    </row>
    <row r="653" customFormat="false" ht="15" hidden="false" customHeight="false" outlineLevel="0" collapsed="false">
      <c r="A653" s="13" t="s">
        <v>236</v>
      </c>
      <c r="B653" s="13" t="s">
        <v>143</v>
      </c>
      <c r="C653" s="13" t="s">
        <v>169</v>
      </c>
      <c r="D653" s="15" t="n">
        <v>0.44587</v>
      </c>
      <c r="E653" s="13" t="n">
        <v>0.93604</v>
      </c>
      <c r="F653" s="16" t="n">
        <f aca="false">IF(H653=1,"",D653/E653)</f>
        <v>0.476336481346951</v>
      </c>
      <c r="G653" s="17" t="n">
        <f aca="false">IF(H653=1,"",D653/E653*Notas!$B$3)</f>
        <v>45.2519657279603</v>
      </c>
      <c r="H653" s="13" t="n">
        <v>0</v>
      </c>
      <c r="I653" s="17" t="n">
        <f aca="false">IF(H653=1,D653,G653)</f>
        <v>45.2519657279603</v>
      </c>
    </row>
    <row r="654" customFormat="false" ht="15" hidden="false" customHeight="false" outlineLevel="0" collapsed="false">
      <c r="A654" s="13" t="s">
        <v>236</v>
      </c>
      <c r="B654" s="13" t="s">
        <v>143</v>
      </c>
      <c r="C654" s="13" t="s">
        <v>170</v>
      </c>
      <c r="D654" s="15" t="n">
        <v>0.50891</v>
      </c>
      <c r="E654" s="13" t="n">
        <v>0.93604</v>
      </c>
      <c r="F654" s="16" t="n">
        <f aca="false">IF(H654=1,"",D654/E654)</f>
        <v>0.543684030596983</v>
      </c>
      <c r="G654" s="17" t="n">
        <f aca="false">IF(H654=1,"",D654/E654*Notas!$B$3)</f>
        <v>51.6499829067134</v>
      </c>
      <c r="H654" s="13" t="n">
        <v>0</v>
      </c>
      <c r="I654" s="17" t="n">
        <f aca="false">IF(H654=1,D654,G654)</f>
        <v>51.6499829067134</v>
      </c>
    </row>
    <row r="655" customFormat="false" ht="15" hidden="false" customHeight="false" outlineLevel="0" collapsed="false">
      <c r="A655" s="13" t="s">
        <v>236</v>
      </c>
      <c r="B655" s="13" t="s">
        <v>143</v>
      </c>
      <c r="C655" s="13" t="s">
        <v>171</v>
      </c>
      <c r="D655" s="15" t="n">
        <v>0.38283</v>
      </c>
      <c r="E655" s="13" t="n">
        <v>0.93604</v>
      </c>
      <c r="F655" s="16" t="n">
        <f aca="false">IF(H655=1,"",D655/E655)</f>
        <v>0.408988932096919</v>
      </c>
      <c r="G655" s="17" t="n">
        <f aca="false">IF(H655=1,"",D655/E655*Notas!$B$3)</f>
        <v>38.8539485492073</v>
      </c>
      <c r="H655" s="13" t="n">
        <v>0</v>
      </c>
      <c r="I655" s="17" t="n">
        <f aca="false">IF(H655=1,D655,G655)</f>
        <v>38.8539485492073</v>
      </c>
    </row>
    <row r="656" customFormat="false" ht="15" hidden="false" customHeight="false" outlineLevel="0" collapsed="false">
      <c r="A656" s="13" t="s">
        <v>236</v>
      </c>
      <c r="B656" s="13" t="s">
        <v>143</v>
      </c>
      <c r="C656" s="13" t="s">
        <v>172</v>
      </c>
      <c r="D656" s="15" t="n">
        <v>0.34304</v>
      </c>
      <c r="E656" s="13" t="n">
        <v>0.93604</v>
      </c>
      <c r="F656" s="16" t="n">
        <f aca="false">IF(H656=1,"",D656/E656)</f>
        <v>0.366480064954489</v>
      </c>
      <c r="G656" s="17" t="n">
        <f aca="false">IF(H656=1,"",D656/E656*Notas!$B$3)</f>
        <v>34.8156061706765</v>
      </c>
      <c r="H656" s="13" t="n">
        <v>0</v>
      </c>
      <c r="I656" s="17" t="n">
        <f aca="false">IF(H656=1,D656,G656)</f>
        <v>34.8156061706765</v>
      </c>
    </row>
    <row r="657" customFormat="false" ht="15" hidden="false" customHeight="false" outlineLevel="0" collapsed="false">
      <c r="A657" s="13" t="s">
        <v>236</v>
      </c>
      <c r="B657" s="13" t="s">
        <v>143</v>
      </c>
      <c r="C657" s="13" t="s">
        <v>173</v>
      </c>
      <c r="D657" s="15" t="n">
        <v>0.26631</v>
      </c>
      <c r="E657" s="13" t="n">
        <v>0.93604</v>
      </c>
      <c r="F657" s="16" t="n">
        <f aca="false">IF(H657=1,"",D657/E657)</f>
        <v>0.284507072347336</v>
      </c>
      <c r="G657" s="17" t="n">
        <f aca="false">IF(H657=1,"",D657/E657*Notas!$B$3)</f>
        <v>27.0281718729969</v>
      </c>
      <c r="H657" s="13" t="n">
        <v>0</v>
      </c>
      <c r="I657" s="17" t="n">
        <f aca="false">IF(H657=1,D657,G657)</f>
        <v>27.0281718729969</v>
      </c>
    </row>
    <row r="658" customFormat="false" ht="15" hidden="false" customHeight="false" outlineLevel="0" collapsed="false">
      <c r="A658" s="13" t="s">
        <v>236</v>
      </c>
      <c r="B658" s="13" t="s">
        <v>143</v>
      </c>
      <c r="C658" s="13" t="s">
        <v>174</v>
      </c>
      <c r="D658" s="15" t="n">
        <v>1.21281</v>
      </c>
      <c r="E658" s="13" t="n">
        <v>0.93604</v>
      </c>
      <c r="F658" s="16" t="n">
        <f aca="false">IF(H658=1,"",D658/E658)</f>
        <v>1.29568180846972</v>
      </c>
      <c r="G658" s="17" t="n">
        <f aca="false">IF(H658=1,"",D658/E658*Notas!$B$3)</f>
        <v>123.089771804624</v>
      </c>
      <c r="H658" s="13" t="n">
        <v>0</v>
      </c>
      <c r="I658" s="17" t="n">
        <f aca="false">IF(H658=1,D658,G658)</f>
        <v>123.089771804624</v>
      </c>
    </row>
    <row r="659" customFormat="false" ht="15" hidden="false" customHeight="false" outlineLevel="0" collapsed="false">
      <c r="A659" s="13" t="s">
        <v>236</v>
      </c>
      <c r="B659" s="13" t="s">
        <v>143</v>
      </c>
      <c r="C659" s="13" t="s">
        <v>175</v>
      </c>
      <c r="D659" s="15" t="n">
        <v>0.10479</v>
      </c>
      <c r="E659" s="13" t="n">
        <v>0.93604</v>
      </c>
      <c r="F659" s="16" t="n">
        <f aca="false">IF(H659=1,"",D659/E659)</f>
        <v>0.111950344002393</v>
      </c>
      <c r="G659" s="17" t="n">
        <f aca="false">IF(H659=1,"",D659/E659*Notas!$B$3)</f>
        <v>10.6352826802273</v>
      </c>
      <c r="H659" s="13" t="n">
        <v>0</v>
      </c>
      <c r="I659" s="17" t="n">
        <f aca="false">IF(H659=1,D659,G659)</f>
        <v>10.6352826802273</v>
      </c>
    </row>
    <row r="660" customFormat="false" ht="15" hidden="false" customHeight="false" outlineLevel="0" collapsed="false">
      <c r="A660" s="13" t="s">
        <v>236</v>
      </c>
      <c r="B660" s="13" t="s">
        <v>143</v>
      </c>
      <c r="C660" s="13" t="s">
        <v>176</v>
      </c>
      <c r="D660" s="15" t="n">
        <v>0.08728</v>
      </c>
      <c r="E660" s="13" t="n">
        <v>0.93604</v>
      </c>
      <c r="F660" s="16" t="n">
        <f aca="false">IF(H660=1,"",D660/E660)</f>
        <v>0.0932438784667322</v>
      </c>
      <c r="G660" s="17" t="n">
        <f aca="false">IF(H660=1,"",D660/E660*Notas!$B$3)</f>
        <v>8.85816845433956</v>
      </c>
      <c r="H660" s="13" t="n">
        <v>0</v>
      </c>
      <c r="I660" s="17" t="n">
        <f aca="false">IF(H660=1,D660,G660)</f>
        <v>8.85816845433956</v>
      </c>
    </row>
    <row r="661" customFormat="false" ht="15" hidden="false" customHeight="false" outlineLevel="0" collapsed="false">
      <c r="A661" s="13" t="s">
        <v>236</v>
      </c>
      <c r="B661" s="13" t="s">
        <v>143</v>
      </c>
      <c r="C661" s="13" t="s">
        <v>177</v>
      </c>
      <c r="D661" s="15" t="n">
        <v>0.30528</v>
      </c>
      <c r="E661" s="13" t="n">
        <v>0.93604</v>
      </c>
      <c r="F661" s="16" t="n">
        <f aca="false">IF(H661=1,"",D661/E661)</f>
        <v>0.326139908550917</v>
      </c>
      <c r="G661" s="17" t="n">
        <f aca="false">IF(H661=1,"",D661/E661*Notas!$B$3)</f>
        <v>30.9832913123371</v>
      </c>
      <c r="H661" s="13" t="n">
        <v>0</v>
      </c>
      <c r="I661" s="17" t="n">
        <f aca="false">IF(H661=1,D661,G661)</f>
        <v>30.9832913123371</v>
      </c>
    </row>
    <row r="662" customFormat="false" ht="15" hidden="false" customHeight="false" outlineLevel="0" collapsed="false">
      <c r="A662" s="13" t="s">
        <v>236</v>
      </c>
      <c r="B662" s="13" t="s">
        <v>143</v>
      </c>
      <c r="C662" s="13" t="s">
        <v>159</v>
      </c>
      <c r="D662" s="15" t="n">
        <v>0.99904</v>
      </c>
      <c r="E662" s="13" t="n">
        <v>0.93604</v>
      </c>
      <c r="F662" s="16" t="n">
        <f aca="false">IF(H662=1,"",D662/E662)</f>
        <v>1.0673048160335</v>
      </c>
      <c r="G662" s="17" t="n">
        <f aca="false">IF(H662=1,"",D662/E662*Notas!$B$3)</f>
        <v>101.393957523183</v>
      </c>
      <c r="H662" s="13" t="n">
        <v>0</v>
      </c>
      <c r="I662" s="17" t="n">
        <f aca="false">IF(H662=1,D662,G662)</f>
        <v>101.393957523183</v>
      </c>
    </row>
    <row r="663" customFormat="false" ht="15" hidden="false" customHeight="false" outlineLevel="0" collapsed="false">
      <c r="A663" s="13" t="s">
        <v>237</v>
      </c>
      <c r="B663" s="13" t="s">
        <v>17</v>
      </c>
      <c r="C663" s="13" t="s">
        <v>18</v>
      </c>
      <c r="D663" s="15" t="n">
        <v>1.00074</v>
      </c>
      <c r="E663" s="13" t="n">
        <v>1.00074</v>
      </c>
      <c r="F663" s="16" t="n">
        <f aca="false">IF(H663=1,"",D663/E663)</f>
        <v>1</v>
      </c>
      <c r="G663" s="17" t="n">
        <f aca="false">IF(H663=1,"",D663/E663*Notas!$B$3)</f>
        <v>95</v>
      </c>
      <c r="H663" s="13" t="n">
        <v>0</v>
      </c>
      <c r="I663" s="17" t="n">
        <f aca="false">IF(H663=1,D663,G663)</f>
        <v>95</v>
      </c>
    </row>
    <row r="664" customFormat="false" ht="15" hidden="false" customHeight="false" outlineLevel="0" collapsed="false">
      <c r="A664" s="13" t="s">
        <v>237</v>
      </c>
      <c r="B664" s="13" t="s">
        <v>17</v>
      </c>
      <c r="C664" s="13" t="s">
        <v>19</v>
      </c>
      <c r="D664" s="15" t="n">
        <v>0.48808</v>
      </c>
      <c r="E664" s="13" t="n">
        <v>1.00074</v>
      </c>
      <c r="F664" s="16" t="n">
        <f aca="false">IF(H664=1,"",D664/E664)</f>
        <v>0.487719087874973</v>
      </c>
      <c r="G664" s="17" t="n">
        <f aca="false">IF(H664=1,"",D664/E664*Notas!$B$3)</f>
        <v>46.3333133481224</v>
      </c>
      <c r="H664" s="13" t="n">
        <v>0</v>
      </c>
      <c r="I664" s="17" t="n">
        <f aca="false">IF(H664=1,D664,G664)</f>
        <v>46.3333133481224</v>
      </c>
    </row>
    <row r="665" customFormat="false" ht="15" hidden="false" customHeight="false" outlineLevel="0" collapsed="false">
      <c r="A665" s="13" t="s">
        <v>237</v>
      </c>
      <c r="B665" s="13" t="s">
        <v>17</v>
      </c>
      <c r="C665" s="13" t="s">
        <v>20</v>
      </c>
      <c r="D665" s="15" t="n">
        <v>0.45489</v>
      </c>
      <c r="E665" s="13" t="n">
        <v>1.00074</v>
      </c>
      <c r="F665" s="16" t="n">
        <f aca="false">IF(H665=1,"",D665/E665)</f>
        <v>0.454553630313568</v>
      </c>
      <c r="G665" s="17" t="n">
        <f aca="false">IF(H665=1,"",D665/E665*Notas!$B$3)</f>
        <v>43.182594879789</v>
      </c>
      <c r="H665" s="13" t="n">
        <v>0</v>
      </c>
      <c r="I665" s="17" t="n">
        <f aca="false">IF(H665=1,D665,G665)</f>
        <v>43.182594879789</v>
      </c>
    </row>
    <row r="666" customFormat="false" ht="15" hidden="false" customHeight="false" outlineLevel="0" collapsed="false">
      <c r="A666" s="13" t="s">
        <v>237</v>
      </c>
      <c r="B666" s="13" t="s">
        <v>17</v>
      </c>
      <c r="C666" s="13" t="s">
        <v>21</v>
      </c>
      <c r="D666" s="15" t="n">
        <v>7548</v>
      </c>
      <c r="E666" s="13" t="n">
        <v>1.00074</v>
      </c>
      <c r="F666" s="16" t="str">
        <f aca="false">IF(H666=1,"",D666/E666)</f>
        <v/>
      </c>
      <c r="G666" s="17" t="str">
        <f aca="false">IF(H666=1,"",D666/E666*Notas!$B$3)</f>
        <v/>
      </c>
      <c r="H666" s="13" t="n">
        <v>1</v>
      </c>
      <c r="I666" s="17" t="n">
        <f aca="false">IF(H666=1,D666,G666)</f>
        <v>7548</v>
      </c>
    </row>
    <row r="667" customFormat="false" ht="15" hidden="false" customHeight="false" outlineLevel="0" collapsed="false">
      <c r="A667" s="13" t="s">
        <v>237</v>
      </c>
      <c r="B667" s="13" t="s">
        <v>17</v>
      </c>
      <c r="C667" s="13" t="s">
        <v>22</v>
      </c>
      <c r="D667" s="15" t="n">
        <v>3773</v>
      </c>
      <c r="E667" s="13" t="n">
        <v>1.00074</v>
      </c>
      <c r="F667" s="16" t="str">
        <f aca="false">IF(H667=1,"",D667/E667)</f>
        <v/>
      </c>
      <c r="G667" s="17" t="str">
        <f aca="false">IF(H667=1,"",D667/E667*Notas!$B$3)</f>
        <v/>
      </c>
      <c r="H667" s="13" t="n">
        <v>1</v>
      </c>
      <c r="I667" s="17" t="n">
        <f aca="false">IF(H667=1,D667,G667)</f>
        <v>3773</v>
      </c>
    </row>
    <row r="668" customFormat="false" ht="15" hidden="false" customHeight="false" outlineLevel="0" collapsed="false">
      <c r="A668" s="13" t="s">
        <v>237</v>
      </c>
      <c r="B668" s="13" t="s">
        <v>17</v>
      </c>
      <c r="C668" s="13" t="s">
        <v>23</v>
      </c>
      <c r="D668" s="15" t="n">
        <v>1.44833</v>
      </c>
      <c r="E668" s="13" t="n">
        <v>1.00074</v>
      </c>
      <c r="F668" s="16" t="str">
        <f aca="false">IF(H668=1,"",D668/E668)</f>
        <v/>
      </c>
      <c r="G668" s="17" t="str">
        <f aca="false">IF(H668=1,"",D668/E668*Notas!$B$3)</f>
        <v/>
      </c>
      <c r="H668" s="13" t="n">
        <v>1</v>
      </c>
      <c r="I668" s="17" t="n">
        <f aca="false">IF(H668=1,D668,G668)</f>
        <v>1.44833</v>
      </c>
    </row>
    <row r="669" customFormat="false" ht="15" hidden="false" customHeight="false" outlineLevel="0" collapsed="false">
      <c r="A669" s="13" t="s">
        <v>237</v>
      </c>
      <c r="B669" s="13" t="s">
        <v>17</v>
      </c>
      <c r="C669" s="13" t="s">
        <v>24</v>
      </c>
      <c r="D669" s="15" t="n">
        <v>0.05484</v>
      </c>
      <c r="E669" s="13" t="n">
        <v>1.00074</v>
      </c>
      <c r="F669" s="16" t="str">
        <f aca="false">IF(H669=1,"",D669/E669)</f>
        <v/>
      </c>
      <c r="G669" s="17" t="str">
        <f aca="false">IF(H669=1,"",D669/E669*Notas!$B$3)</f>
        <v/>
      </c>
      <c r="H669" s="13" t="n">
        <v>1</v>
      </c>
      <c r="I669" s="17" t="n">
        <f aca="false">IF(H669=1,D669,G669)</f>
        <v>0.05484</v>
      </c>
    </row>
    <row r="670" customFormat="false" ht="15" hidden="false" customHeight="false" outlineLevel="0" collapsed="false">
      <c r="A670" s="13" t="s">
        <v>237</v>
      </c>
      <c r="B670" s="13" t="s">
        <v>25</v>
      </c>
      <c r="C670" s="13" t="s">
        <v>26</v>
      </c>
      <c r="D670" s="15" t="n">
        <v>56.83707</v>
      </c>
      <c r="E670" s="13" t="n">
        <v>1.00074</v>
      </c>
      <c r="F670" s="16" t="str">
        <f aca="false">IF(H670=1,"",D670/E670)</f>
        <v/>
      </c>
      <c r="G670" s="17" t="str">
        <f aca="false">IF(H670=1,"",D670/E670*Notas!$B$3)</f>
        <v/>
      </c>
      <c r="H670" s="13" t="n">
        <v>1</v>
      </c>
      <c r="I670" s="17" t="n">
        <f aca="false">IF(H670=1,D670,G670)</f>
        <v>56.83707</v>
      </c>
    </row>
    <row r="671" customFormat="false" ht="15" hidden="false" customHeight="false" outlineLevel="0" collapsed="false">
      <c r="A671" s="13" t="s">
        <v>237</v>
      </c>
      <c r="B671" s="13" t="s">
        <v>25</v>
      </c>
      <c r="C671" s="13" t="s">
        <v>27</v>
      </c>
      <c r="D671" s="15" t="n">
        <v>7.76347</v>
      </c>
      <c r="E671" s="13" t="n">
        <v>1.00074</v>
      </c>
      <c r="F671" s="16" t="str">
        <f aca="false">IF(H671=1,"",D671/E671)</f>
        <v/>
      </c>
      <c r="G671" s="17" t="str">
        <f aca="false">IF(H671=1,"",D671/E671*Notas!$B$3)</f>
        <v/>
      </c>
      <c r="H671" s="13" t="n">
        <v>1</v>
      </c>
      <c r="I671" s="17" t="n">
        <f aca="false">IF(H671=1,D671,G671)</f>
        <v>7.76347</v>
      </c>
    </row>
    <row r="672" customFormat="false" ht="15" hidden="false" customHeight="false" outlineLevel="0" collapsed="false">
      <c r="A672" s="13" t="s">
        <v>237</v>
      </c>
      <c r="B672" s="13" t="s">
        <v>25</v>
      </c>
      <c r="C672" s="13" t="s">
        <v>28</v>
      </c>
      <c r="D672" s="15" t="n">
        <v>26.12954</v>
      </c>
      <c r="E672" s="13" t="n">
        <v>1.00074</v>
      </c>
      <c r="F672" s="16" t="str">
        <f aca="false">IF(H672=1,"",D672/E672)</f>
        <v/>
      </c>
      <c r="G672" s="17" t="str">
        <f aca="false">IF(H672=1,"",D672/E672*Notas!$B$3)</f>
        <v/>
      </c>
      <c r="H672" s="13" t="n">
        <v>1</v>
      </c>
      <c r="I672" s="17" t="n">
        <f aca="false">IF(H672=1,D672,G672)</f>
        <v>26.12954</v>
      </c>
    </row>
    <row r="673" customFormat="false" ht="15" hidden="false" customHeight="false" outlineLevel="0" collapsed="false">
      <c r="A673" s="13" t="s">
        <v>237</v>
      </c>
      <c r="B673" s="13" t="s">
        <v>25</v>
      </c>
      <c r="C673" s="13" t="s">
        <v>29</v>
      </c>
      <c r="D673" s="15" t="n">
        <v>9.26993</v>
      </c>
      <c r="E673" s="13" t="n">
        <v>1.00074</v>
      </c>
      <c r="F673" s="16" t="str">
        <f aca="false">IF(H673=1,"",D673/E673)</f>
        <v/>
      </c>
      <c r="G673" s="17" t="str">
        <f aca="false">IF(H673=1,"",D673/E673*Notas!$B$3)</f>
        <v/>
      </c>
      <c r="H673" s="13" t="n">
        <v>1</v>
      </c>
      <c r="I673" s="17" t="n">
        <f aca="false">IF(H673=1,D673,G673)</f>
        <v>9.26993</v>
      </c>
    </row>
    <row r="674" customFormat="false" ht="15" hidden="false" customHeight="false" outlineLevel="0" collapsed="false">
      <c r="A674" s="13" t="s">
        <v>237</v>
      </c>
      <c r="B674" s="13" t="s">
        <v>30</v>
      </c>
      <c r="C674" s="13" t="s">
        <v>31</v>
      </c>
      <c r="D674" s="15" t="n">
        <v>0.55041</v>
      </c>
      <c r="E674" s="13" t="n">
        <v>1.00074</v>
      </c>
      <c r="F674" s="16" t="n">
        <f aca="false">IF(H674=1,"",D674/E674)</f>
        <v>0.550002997781642</v>
      </c>
      <c r="G674" s="17" t="n">
        <f aca="false">IF(H674=1,"",D674/E674*Notas!$B$3)</f>
        <v>52.2502847892559</v>
      </c>
      <c r="H674" s="13" t="n">
        <v>0</v>
      </c>
      <c r="I674" s="17" t="n">
        <f aca="false">IF(H674=1,D674,G674)</f>
        <v>52.2502847892559</v>
      </c>
    </row>
    <row r="675" customFormat="false" ht="15" hidden="false" customHeight="false" outlineLevel="0" collapsed="false">
      <c r="A675" s="13" t="s">
        <v>237</v>
      </c>
      <c r="B675" s="13" t="s">
        <v>30</v>
      </c>
      <c r="C675" s="13" t="s">
        <v>32</v>
      </c>
      <c r="D675" s="15" t="n">
        <v>0.45033</v>
      </c>
      <c r="E675" s="13" t="n">
        <v>1.00074</v>
      </c>
      <c r="F675" s="16" t="n">
        <f aca="false">IF(H675=1,"",D675/E675)</f>
        <v>0.449997002218358</v>
      </c>
      <c r="G675" s="17" t="n">
        <f aca="false">IF(H675=1,"",D675/E675*Notas!$B$3)</f>
        <v>42.7497152107441</v>
      </c>
      <c r="H675" s="13" t="n">
        <v>0</v>
      </c>
      <c r="I675" s="17" t="n">
        <f aca="false">IF(H675=1,D675,G675)</f>
        <v>42.7497152107441</v>
      </c>
    </row>
    <row r="676" customFormat="false" ht="15" hidden="false" customHeight="false" outlineLevel="0" collapsed="false">
      <c r="A676" s="13" t="s">
        <v>237</v>
      </c>
      <c r="B676" s="13" t="s">
        <v>30</v>
      </c>
      <c r="C676" s="13" t="s">
        <v>33</v>
      </c>
      <c r="D676" s="15" t="n">
        <v>0.48671</v>
      </c>
      <c r="E676" s="13" t="n">
        <v>1.00074</v>
      </c>
      <c r="F676" s="16" t="n">
        <f aca="false">IF(H676=1,"",D676/E676)</f>
        <v>0.486350100925315</v>
      </c>
      <c r="G676" s="17" t="n">
        <f aca="false">IF(H676=1,"",D676/E676*Notas!$B$3)</f>
        <v>46.203259587905</v>
      </c>
      <c r="H676" s="13" t="n">
        <v>0</v>
      </c>
      <c r="I676" s="17" t="n">
        <f aca="false">IF(H676=1,D676,G676)</f>
        <v>46.203259587905</v>
      </c>
    </row>
    <row r="677" customFormat="false" ht="15" hidden="false" customHeight="false" outlineLevel="0" collapsed="false">
      <c r="A677" s="13" t="s">
        <v>237</v>
      </c>
      <c r="B677" s="13" t="s">
        <v>30</v>
      </c>
      <c r="C677" s="13" t="s">
        <v>34</v>
      </c>
      <c r="D677" s="15" t="n">
        <v>0.45489</v>
      </c>
      <c r="E677" s="13" t="n">
        <v>1.00074</v>
      </c>
      <c r="F677" s="16" t="n">
        <f aca="false">IF(H677=1,"",D677/E677)</f>
        <v>0.454553630313568</v>
      </c>
      <c r="G677" s="17" t="n">
        <f aca="false">IF(H677=1,"",D677/E677*Notas!$B$3)</f>
        <v>43.182594879789</v>
      </c>
      <c r="H677" s="13" t="n">
        <v>0</v>
      </c>
      <c r="I677" s="17" t="n">
        <f aca="false">IF(H677=1,D677,G677)</f>
        <v>43.182594879789</v>
      </c>
    </row>
    <row r="678" customFormat="false" ht="15" hidden="false" customHeight="false" outlineLevel="0" collapsed="false">
      <c r="A678" s="13" t="s">
        <v>237</v>
      </c>
      <c r="B678" s="13" t="s">
        <v>35</v>
      </c>
      <c r="C678" s="13" t="s">
        <v>36</v>
      </c>
      <c r="D678" s="15" t="n">
        <v>2.22222</v>
      </c>
      <c r="E678" s="13" t="n">
        <v>1.00074</v>
      </c>
      <c r="F678" s="16" t="str">
        <f aca="false">IF(H678=1,"",D678/E678)</f>
        <v/>
      </c>
      <c r="G678" s="17" t="str">
        <f aca="false">IF(H678=1,"",D678/E678*Notas!$B$3)</f>
        <v/>
      </c>
      <c r="H678" s="13" t="n">
        <v>1</v>
      </c>
      <c r="I678" s="17" t="n">
        <f aca="false">IF(H678=1,D678,G678)</f>
        <v>2.22222</v>
      </c>
    </row>
    <row r="679" customFormat="false" ht="15" hidden="false" customHeight="false" outlineLevel="0" collapsed="false">
      <c r="A679" s="13" t="s">
        <v>237</v>
      </c>
      <c r="B679" s="13" t="s">
        <v>35</v>
      </c>
      <c r="C679" s="13" t="s">
        <v>37</v>
      </c>
      <c r="D679" s="15" t="n">
        <v>45</v>
      </c>
      <c r="E679" s="13" t="n">
        <v>1.00074</v>
      </c>
      <c r="F679" s="16" t="str">
        <f aca="false">IF(H679=1,"",D679/E679)</f>
        <v/>
      </c>
      <c r="G679" s="17" t="str">
        <f aca="false">IF(H679=1,"",D679/E679*Notas!$B$3)</f>
        <v/>
      </c>
      <c r="H679" s="13" t="n">
        <v>1</v>
      </c>
      <c r="I679" s="17" t="n">
        <f aca="false">IF(H679=1,D679,G679)</f>
        <v>45</v>
      </c>
    </row>
    <row r="680" customFormat="false" ht="15" hidden="false" customHeight="false" outlineLevel="0" collapsed="false">
      <c r="A680" s="13" t="s">
        <v>237</v>
      </c>
      <c r="B680" s="13" t="s">
        <v>38</v>
      </c>
      <c r="C680" s="13" t="s">
        <v>39</v>
      </c>
      <c r="D680" s="15" t="n">
        <v>0.70533</v>
      </c>
      <c r="E680" s="13" t="n">
        <v>1.00074</v>
      </c>
      <c r="F680" s="16" t="n">
        <f aca="false">IF(H680=1,"",D680/E680)</f>
        <v>0.704808441753103</v>
      </c>
      <c r="G680" s="17" t="n">
        <f aca="false">IF(H680=1,"",D680/E680*Notas!$B$3)</f>
        <v>66.9568019665448</v>
      </c>
      <c r="H680" s="13" t="n">
        <v>0</v>
      </c>
      <c r="I680" s="17" t="n">
        <f aca="false">IF(H680=1,D680,G680)</f>
        <v>66.9568019665448</v>
      </c>
    </row>
    <row r="681" customFormat="false" ht="15" hidden="false" customHeight="false" outlineLevel="0" collapsed="false">
      <c r="A681" s="13" t="s">
        <v>237</v>
      </c>
      <c r="B681" s="13" t="s">
        <v>38</v>
      </c>
      <c r="C681" s="13" t="s">
        <v>40</v>
      </c>
      <c r="D681" s="15" t="n">
        <v>0.07866</v>
      </c>
      <c r="E681" s="13" t="n">
        <v>1.00074</v>
      </c>
      <c r="F681" s="16" t="n">
        <f aca="false">IF(H681=1,"",D681/E681)</f>
        <v>0.0786018346423646</v>
      </c>
      <c r="G681" s="17" t="n">
        <f aca="false">IF(H681=1,"",D681/E681*Notas!$B$3)</f>
        <v>7.46717429102464</v>
      </c>
      <c r="H681" s="13" t="n">
        <v>0</v>
      </c>
      <c r="I681" s="17" t="n">
        <f aca="false">IF(H681=1,D681,G681)</f>
        <v>7.46717429102464</v>
      </c>
    </row>
    <row r="682" customFormat="false" ht="15" hidden="false" customHeight="false" outlineLevel="0" collapsed="false">
      <c r="A682" s="13" t="s">
        <v>237</v>
      </c>
      <c r="B682" s="13" t="s">
        <v>38</v>
      </c>
      <c r="C682" s="13" t="s">
        <v>41</v>
      </c>
      <c r="D682" s="15" t="n">
        <v>0.0609</v>
      </c>
      <c r="E682" s="13" t="n">
        <v>1.00074</v>
      </c>
      <c r="F682" s="16" t="n">
        <f aca="false">IF(H682=1,"",D682/E682)</f>
        <v>0.0608549673241801</v>
      </c>
      <c r="G682" s="17" t="n">
        <f aca="false">IF(H682=1,"",D682/E682*Notas!$B$3)</f>
        <v>5.78122189579711</v>
      </c>
      <c r="H682" s="13" t="n">
        <v>0</v>
      </c>
      <c r="I682" s="17" t="n">
        <f aca="false">IF(H682=1,D682,G682)</f>
        <v>5.78122189579711</v>
      </c>
    </row>
    <row r="683" customFormat="false" ht="15" hidden="false" customHeight="false" outlineLevel="0" collapsed="false">
      <c r="A683" s="13" t="s">
        <v>237</v>
      </c>
      <c r="B683" s="13" t="s">
        <v>38</v>
      </c>
      <c r="C683" s="13" t="s">
        <v>42</v>
      </c>
      <c r="D683" s="15" t="n">
        <v>-0.05044</v>
      </c>
      <c r="E683" s="13" t="n">
        <v>1.00074</v>
      </c>
      <c r="F683" s="16" t="n">
        <f aca="false">IF(H683=1,"",D683/E683)</f>
        <v>-0.0504027020005196</v>
      </c>
      <c r="G683" s="17" t="n">
        <f aca="false">IF(H683=1,"",D683/E683*Notas!$B$3)</f>
        <v>-4.78825669004936</v>
      </c>
      <c r="H683" s="13" t="n">
        <v>0</v>
      </c>
      <c r="I683" s="17" t="n">
        <f aca="false">IF(H683=1,D683,G683)</f>
        <v>-4.78825669004936</v>
      </c>
    </row>
    <row r="684" customFormat="false" ht="15" hidden="false" customHeight="false" outlineLevel="0" collapsed="false">
      <c r="A684" s="13" t="s">
        <v>237</v>
      </c>
      <c r="B684" s="13" t="s">
        <v>38</v>
      </c>
      <c r="C684" s="13" t="s">
        <v>43</v>
      </c>
      <c r="D684" s="15" t="n">
        <v>0.71284</v>
      </c>
      <c r="E684" s="13" t="n">
        <v>1.00074</v>
      </c>
      <c r="F684" s="16" t="n">
        <f aca="false">IF(H684=1,"",D684/E684)</f>
        <v>0.712312888462538</v>
      </c>
      <c r="G684" s="17" t="n">
        <f aca="false">IF(H684=1,"",D684/E684*Notas!$B$3)</f>
        <v>67.6697244039411</v>
      </c>
      <c r="H684" s="13" t="n">
        <v>0</v>
      </c>
      <c r="I684" s="17" t="n">
        <f aca="false">IF(H684=1,D684,G684)</f>
        <v>67.6697244039411</v>
      </c>
    </row>
    <row r="685" customFormat="false" ht="15" hidden="false" customHeight="false" outlineLevel="0" collapsed="false">
      <c r="A685" s="13" t="s">
        <v>237</v>
      </c>
      <c r="B685" s="13" t="s">
        <v>38</v>
      </c>
      <c r="C685" s="13" t="s">
        <v>44</v>
      </c>
      <c r="D685" s="15" t="n">
        <v>0.06826</v>
      </c>
      <c r="E685" s="13" t="n">
        <v>1.00074</v>
      </c>
      <c r="F685" s="16" t="n">
        <f aca="false">IF(H685=1,"",D685/E685)</f>
        <v>0.0682095249515359</v>
      </c>
      <c r="G685" s="17" t="n">
        <f aca="false">IF(H685=1,"",D685/E685*Notas!$B$3)</f>
        <v>6.47990487039591</v>
      </c>
      <c r="H685" s="13" t="n">
        <v>0</v>
      </c>
      <c r="I685" s="17" t="n">
        <f aca="false">IF(H685=1,D685,G685)</f>
        <v>6.47990487039591</v>
      </c>
    </row>
    <row r="686" customFormat="false" ht="15" hidden="false" customHeight="false" outlineLevel="0" collapsed="false">
      <c r="A686" s="13" t="s">
        <v>237</v>
      </c>
      <c r="B686" s="13" t="s">
        <v>38</v>
      </c>
      <c r="C686" s="13" t="s">
        <v>45</v>
      </c>
      <c r="D686" s="15" t="n">
        <v>0.0741</v>
      </c>
      <c r="E686" s="13" t="n">
        <v>1.00074</v>
      </c>
      <c r="F686" s="16" t="n">
        <f aca="false">IF(H686=1,"",D686/E686)</f>
        <v>0.0740452065471551</v>
      </c>
      <c r="G686" s="17" t="n">
        <f aca="false">IF(H686=1,"",D686/E686*Notas!$B$3)</f>
        <v>7.03429462197973</v>
      </c>
      <c r="H686" s="13" t="n">
        <v>0</v>
      </c>
      <c r="I686" s="17" t="n">
        <f aca="false">IF(H686=1,D686,G686)</f>
        <v>7.03429462197973</v>
      </c>
    </row>
    <row r="687" customFormat="false" ht="15" hidden="false" customHeight="false" outlineLevel="0" collapsed="false">
      <c r="A687" s="13" t="s">
        <v>237</v>
      </c>
      <c r="B687" s="13" t="s">
        <v>38</v>
      </c>
      <c r="C687" s="13" t="s">
        <v>46</v>
      </c>
      <c r="D687" s="15" t="n">
        <v>0.06911</v>
      </c>
      <c r="E687" s="13" t="n">
        <v>1.00074</v>
      </c>
      <c r="F687" s="16" t="n">
        <f aca="false">IF(H687=1,"",D687/E687)</f>
        <v>0.0690588964166517</v>
      </c>
      <c r="G687" s="17" t="n">
        <f aca="false">IF(H687=1,"",D687/E687*Notas!$B$3)</f>
        <v>6.56059515958191</v>
      </c>
      <c r="H687" s="13" t="n">
        <v>0</v>
      </c>
      <c r="I687" s="17" t="n">
        <f aca="false">IF(H687=1,D687,G687)</f>
        <v>6.56059515958191</v>
      </c>
    </row>
    <row r="688" customFormat="false" ht="15" hidden="false" customHeight="false" outlineLevel="0" collapsed="false">
      <c r="A688" s="13" t="s">
        <v>237</v>
      </c>
      <c r="B688" s="13" t="s">
        <v>38</v>
      </c>
      <c r="C688" s="13" t="s">
        <v>47</v>
      </c>
      <c r="D688" s="15" t="n">
        <v>0.07501</v>
      </c>
      <c r="E688" s="13" t="n">
        <v>1.00074</v>
      </c>
      <c r="F688" s="16" t="n">
        <f aca="false">IF(H688=1,"",D688/E688)</f>
        <v>0.0749545336451026</v>
      </c>
      <c r="G688" s="17" t="n">
        <f aca="false">IF(H688=1,"",D688/E688*Notas!$B$3)</f>
        <v>7.12068069628475</v>
      </c>
      <c r="H688" s="13" t="n">
        <v>0</v>
      </c>
      <c r="I688" s="17" t="n">
        <f aca="false">IF(H688=1,D688,G688)</f>
        <v>7.12068069628475</v>
      </c>
    </row>
    <row r="689" customFormat="false" ht="15" hidden="false" customHeight="false" outlineLevel="0" collapsed="false">
      <c r="A689" s="13" t="s">
        <v>237</v>
      </c>
      <c r="B689" s="13" t="s">
        <v>38</v>
      </c>
      <c r="C689" s="13" t="s">
        <v>48</v>
      </c>
      <c r="D689" s="15" t="n">
        <v>0.19302</v>
      </c>
      <c r="E689" s="13" t="n">
        <v>1.00074</v>
      </c>
      <c r="F689" s="16" t="n">
        <f aca="false">IF(H689=1,"",D689/E689)</f>
        <v>0.192877270819594</v>
      </c>
      <c r="G689" s="17" t="n">
        <f aca="false">IF(H689=1,"",D689/E689*Notas!$B$3)</f>
        <v>18.3233407278614</v>
      </c>
      <c r="H689" s="13" t="n">
        <v>0</v>
      </c>
      <c r="I689" s="17" t="n">
        <f aca="false">IF(H689=1,D689,G689)</f>
        <v>18.3233407278614</v>
      </c>
    </row>
    <row r="690" customFormat="false" ht="15" hidden="false" customHeight="false" outlineLevel="0" collapsed="false">
      <c r="A690" s="13" t="s">
        <v>237</v>
      </c>
      <c r="B690" s="13" t="s">
        <v>30</v>
      </c>
      <c r="C690" s="13" t="s">
        <v>49</v>
      </c>
      <c r="D690" s="15" t="n">
        <v>0.42219</v>
      </c>
      <c r="E690" s="13" t="n">
        <v>1.00074</v>
      </c>
      <c r="F690" s="16" t="n">
        <f aca="false">IF(H690=1,"",D690/E690)</f>
        <v>0.421877810420289</v>
      </c>
      <c r="G690" s="17" t="n">
        <f aca="false">IF(H690=1,"",D690/E690*Notas!$B$3)</f>
        <v>40.0783919899275</v>
      </c>
      <c r="H690" s="13" t="n">
        <v>0</v>
      </c>
      <c r="I690" s="17" t="n">
        <f aca="false">IF(H690=1,D690,G690)</f>
        <v>40.0783919899275</v>
      </c>
    </row>
    <row r="691" customFormat="false" ht="15" hidden="false" customHeight="false" outlineLevel="0" collapsed="false">
      <c r="A691" s="13" t="s">
        <v>237</v>
      </c>
      <c r="B691" s="13" t="s">
        <v>30</v>
      </c>
      <c r="C691" s="13" t="s">
        <v>50</v>
      </c>
      <c r="D691" s="15" t="n">
        <v>0.3637</v>
      </c>
      <c r="E691" s="13" t="n">
        <v>1.00074</v>
      </c>
      <c r="F691" s="16" t="n">
        <f aca="false">IF(H691=1,"",D691/E691)</f>
        <v>0.363431061014849</v>
      </c>
      <c r="G691" s="17" t="n">
        <f aca="false">IF(H691=1,"",D691/E691*Notas!$B$3)</f>
        <v>34.5259507964107</v>
      </c>
      <c r="H691" s="13" t="n">
        <v>0</v>
      </c>
      <c r="I691" s="17" t="n">
        <f aca="false">IF(H691=1,D691,G691)</f>
        <v>34.5259507964107</v>
      </c>
    </row>
    <row r="692" customFormat="false" ht="15" hidden="false" customHeight="false" outlineLevel="0" collapsed="false">
      <c r="A692" s="13" t="s">
        <v>237</v>
      </c>
      <c r="B692" s="13" t="s">
        <v>30</v>
      </c>
      <c r="C692" s="13" t="s">
        <v>51</v>
      </c>
      <c r="D692" s="15" t="n">
        <v>1.49715</v>
      </c>
      <c r="E692" s="13" t="n">
        <v>1.00074</v>
      </c>
      <c r="F692" s="16" t="n">
        <f aca="false">IF(H692=1,"",D692/E692)</f>
        <v>1.49604292823311</v>
      </c>
      <c r="G692" s="17" t="n">
        <f aca="false">IF(H692=1,"",D692/E692*Notas!$B$3)</f>
        <v>142.124078182145</v>
      </c>
      <c r="H692" s="13" t="n">
        <v>0</v>
      </c>
      <c r="I692" s="17" t="n">
        <f aca="false">IF(H692=1,D692,G692)</f>
        <v>142.124078182145</v>
      </c>
    </row>
    <row r="693" customFormat="false" ht="15" hidden="false" customHeight="false" outlineLevel="0" collapsed="false">
      <c r="A693" s="13" t="s">
        <v>237</v>
      </c>
      <c r="B693" s="13" t="s">
        <v>30</v>
      </c>
      <c r="C693" s="13" t="s">
        <v>52</v>
      </c>
      <c r="D693" s="15" t="n">
        <v>0.47287</v>
      </c>
      <c r="E693" s="13" t="n">
        <v>1.00074</v>
      </c>
      <c r="F693" s="16" t="n">
        <f aca="false">IF(H693=1,"",D693/E693)</f>
        <v>0.472520334952135</v>
      </c>
      <c r="G693" s="17" t="n">
        <f aca="false">IF(H693=1,"",D693/E693*Notas!$B$3)</f>
        <v>44.8894318204529</v>
      </c>
      <c r="H693" s="13" t="n">
        <v>0</v>
      </c>
      <c r="I693" s="17" t="n">
        <f aca="false">IF(H693=1,D693,G693)</f>
        <v>44.8894318204529</v>
      </c>
    </row>
    <row r="694" customFormat="false" ht="15" hidden="false" customHeight="false" outlineLevel="0" collapsed="false">
      <c r="A694" s="13" t="s">
        <v>237</v>
      </c>
      <c r="B694" s="13" t="s">
        <v>30</v>
      </c>
      <c r="C694" s="13" t="s">
        <v>53</v>
      </c>
      <c r="D694" s="15" t="n">
        <v>0.40061</v>
      </c>
      <c r="E694" s="13" t="n">
        <v>1.00074</v>
      </c>
      <c r="F694" s="16" t="n">
        <f aca="false">IF(H694=1,"",D694/E694)</f>
        <v>0.400313767811819</v>
      </c>
      <c r="G694" s="17" t="n">
        <f aca="false">IF(H694=1,"",D694/E694*Notas!$B$3)</f>
        <v>38.0298079421228</v>
      </c>
      <c r="H694" s="13" t="n">
        <v>0</v>
      </c>
      <c r="I694" s="17" t="n">
        <f aca="false">IF(H694=1,D694,G694)</f>
        <v>38.0298079421228</v>
      </c>
    </row>
    <row r="695" customFormat="false" ht="15" hidden="false" customHeight="false" outlineLevel="0" collapsed="false">
      <c r="A695" s="13" t="s">
        <v>237</v>
      </c>
      <c r="B695" s="13" t="s">
        <v>30</v>
      </c>
      <c r="C695" s="13" t="s">
        <v>54</v>
      </c>
      <c r="D695" s="15" t="n">
        <v>1.62436</v>
      </c>
      <c r="E695" s="13" t="n">
        <v>1.00074</v>
      </c>
      <c r="F695" s="16" t="n">
        <f aca="false">IF(H695=1,"",D695/E695)</f>
        <v>1.62315886244179</v>
      </c>
      <c r="G695" s="17" t="n">
        <f aca="false">IF(H695=1,"",D695/E695*Notas!$B$3)</f>
        <v>154.20009193197</v>
      </c>
      <c r="H695" s="13" t="n">
        <v>0</v>
      </c>
      <c r="I695" s="17" t="n">
        <f aca="false">IF(H695=1,D695,G695)</f>
        <v>154.20009193197</v>
      </c>
    </row>
    <row r="696" customFormat="false" ht="15" hidden="false" customHeight="false" outlineLevel="0" collapsed="false">
      <c r="A696" s="13" t="s">
        <v>237</v>
      </c>
      <c r="B696" s="13" t="s">
        <v>30</v>
      </c>
      <c r="C696" s="13" t="s">
        <v>55</v>
      </c>
      <c r="D696" s="15" t="n">
        <v>0.37383</v>
      </c>
      <c r="E696" s="13" t="n">
        <v>1.00074</v>
      </c>
      <c r="F696" s="16" t="n">
        <f aca="false">IF(H696=1,"",D696/E696)</f>
        <v>0.373553570357935</v>
      </c>
      <c r="G696" s="17" t="n">
        <f aca="false">IF(H696=1,"",D696/E696*Notas!$B$3)</f>
        <v>35.4875891840038</v>
      </c>
      <c r="H696" s="13" t="n">
        <v>0</v>
      </c>
      <c r="I696" s="17" t="n">
        <f aca="false">IF(H696=1,D696,G696)</f>
        <v>35.4875891840038</v>
      </c>
    </row>
    <row r="697" customFormat="false" ht="15" hidden="false" customHeight="false" outlineLevel="0" collapsed="false">
      <c r="A697" s="13" t="s">
        <v>237</v>
      </c>
      <c r="B697" s="13" t="s">
        <v>30</v>
      </c>
      <c r="C697" s="13" t="s">
        <v>56</v>
      </c>
      <c r="D697" s="15" t="n">
        <v>0.32491</v>
      </c>
      <c r="E697" s="13" t="n">
        <v>1.00074</v>
      </c>
      <c r="F697" s="16" t="n">
        <f aca="false">IF(H697=1,"",D697/E697)</f>
        <v>0.324669744389152</v>
      </c>
      <c r="G697" s="17" t="n">
        <f aca="false">IF(H697=1,"",D697/E697*Notas!$B$3)</f>
        <v>30.8436257169694</v>
      </c>
      <c r="H697" s="13" t="n">
        <v>0</v>
      </c>
      <c r="I697" s="17" t="n">
        <f aca="false">IF(H697=1,D697,G697)</f>
        <v>30.8436257169694</v>
      </c>
    </row>
    <row r="698" customFormat="false" ht="15" hidden="false" customHeight="false" outlineLevel="0" collapsed="false">
      <c r="A698" s="13" t="s">
        <v>237</v>
      </c>
      <c r="B698" s="13" t="s">
        <v>30</v>
      </c>
      <c r="C698" s="13" t="s">
        <v>57</v>
      </c>
      <c r="D698" s="15" t="n">
        <v>1.43907</v>
      </c>
      <c r="E698" s="13" t="n">
        <v>1.00074</v>
      </c>
      <c r="F698" s="16" t="n">
        <f aca="false">IF(H698=1,"",D698/E698)</f>
        <v>1.43800587565202</v>
      </c>
      <c r="G698" s="17" t="n">
        <f aca="false">IF(H698=1,"",D698/E698*Notas!$B$3)</f>
        <v>136.610558186942</v>
      </c>
      <c r="H698" s="13" t="n">
        <v>0</v>
      </c>
      <c r="I698" s="17" t="n">
        <f aca="false">IF(H698=1,D698,G698)</f>
        <v>136.610558186942</v>
      </c>
    </row>
    <row r="699" customFormat="false" ht="15" hidden="false" customHeight="false" outlineLevel="0" collapsed="false">
      <c r="A699" s="13" t="s">
        <v>237</v>
      </c>
      <c r="B699" s="13" t="s">
        <v>58</v>
      </c>
      <c r="C699" s="13" t="s">
        <v>59</v>
      </c>
      <c r="D699" s="15" t="n">
        <v>0.7122</v>
      </c>
      <c r="E699" s="13" t="n">
        <v>1.00074</v>
      </c>
      <c r="F699" s="16" t="n">
        <f aca="false">IF(H699=1,"",D699/E699)</f>
        <v>0.711673361712333</v>
      </c>
      <c r="G699" s="17" t="n">
        <f aca="false">IF(H699=1,"",D699/E699*Notas!$B$3)</f>
        <v>67.6089693626716</v>
      </c>
      <c r="H699" s="13" t="n">
        <v>0</v>
      </c>
      <c r="I699" s="17" t="n">
        <f aca="false">IF(H699=1,D699,G699)</f>
        <v>67.6089693626716</v>
      </c>
    </row>
    <row r="700" customFormat="false" ht="15" hidden="false" customHeight="false" outlineLevel="0" collapsed="false">
      <c r="A700" s="13" t="s">
        <v>237</v>
      </c>
      <c r="B700" s="13" t="s">
        <v>58</v>
      </c>
      <c r="C700" s="13" t="s">
        <v>60</v>
      </c>
      <c r="D700" s="15" t="n">
        <v>0.24404</v>
      </c>
      <c r="E700" s="13" t="n">
        <v>1.00074</v>
      </c>
      <c r="F700" s="16" t="n">
        <f aca="false">IF(H700=1,"",D700/E700)</f>
        <v>0.243859543937486</v>
      </c>
      <c r="G700" s="17" t="n">
        <f aca="false">IF(H700=1,"",D700/E700*Notas!$B$3)</f>
        <v>23.1666566740612</v>
      </c>
      <c r="H700" s="13" t="n">
        <v>0</v>
      </c>
      <c r="I700" s="17" t="n">
        <f aca="false">IF(H700=1,D700,G700)</f>
        <v>23.1666566740612</v>
      </c>
    </row>
    <row r="701" customFormat="false" ht="15" hidden="false" customHeight="false" outlineLevel="0" collapsed="false">
      <c r="A701" s="13" t="s">
        <v>237</v>
      </c>
      <c r="B701" s="13" t="s">
        <v>58</v>
      </c>
      <c r="C701" s="13" t="s">
        <v>61</v>
      </c>
      <c r="D701" s="15" t="n">
        <v>0.71046</v>
      </c>
      <c r="E701" s="13" t="n">
        <v>1.00074</v>
      </c>
      <c r="F701" s="16" t="n">
        <f aca="false">IF(H701=1,"",D701/E701)</f>
        <v>0.709934648360214</v>
      </c>
      <c r="G701" s="17" t="n">
        <f aca="false">IF(H701=1,"",D701/E701*Notas!$B$3)</f>
        <v>67.4437915942203</v>
      </c>
      <c r="H701" s="13" t="n">
        <v>0</v>
      </c>
      <c r="I701" s="17" t="n">
        <f aca="false">IF(H701=1,D701,G701)</f>
        <v>67.4437915942203</v>
      </c>
    </row>
    <row r="702" customFormat="false" ht="15" hidden="false" customHeight="false" outlineLevel="0" collapsed="false">
      <c r="A702" s="13" t="s">
        <v>237</v>
      </c>
      <c r="B702" s="13" t="s">
        <v>58</v>
      </c>
      <c r="C702" s="13" t="s">
        <v>62</v>
      </c>
      <c r="D702" s="15" t="n">
        <v>0.24267</v>
      </c>
      <c r="E702" s="13" t="n">
        <v>1.00074</v>
      </c>
      <c r="F702" s="16" t="n">
        <f aca="false">IF(H702=1,"",D702/E702)</f>
        <v>0.242490556987829</v>
      </c>
      <c r="G702" s="17" t="n">
        <f aca="false">IF(H702=1,"",D702/E702*Notas!$B$3)</f>
        <v>23.0366029138438</v>
      </c>
      <c r="H702" s="13" t="n">
        <v>0</v>
      </c>
      <c r="I702" s="17" t="n">
        <f aca="false">IF(H702=1,D702,G702)</f>
        <v>23.0366029138438</v>
      </c>
    </row>
    <row r="703" customFormat="false" ht="15" hidden="false" customHeight="false" outlineLevel="0" collapsed="false">
      <c r="A703" s="13" t="s">
        <v>237</v>
      </c>
      <c r="B703" s="13" t="s">
        <v>63</v>
      </c>
      <c r="C703" s="13" t="s">
        <v>64</v>
      </c>
      <c r="D703" s="15" t="n">
        <v>0.5502</v>
      </c>
      <c r="E703" s="13" t="n">
        <v>1.00074</v>
      </c>
      <c r="F703" s="16" t="n">
        <f aca="false">IF(H703=1,"",D703/E703)</f>
        <v>0.549793153066731</v>
      </c>
      <c r="G703" s="17" t="n">
        <f aca="false">IF(H703=1,"",D703/E703*Notas!$B$3)</f>
        <v>52.2303495413394</v>
      </c>
      <c r="H703" s="13" t="n">
        <v>0</v>
      </c>
      <c r="I703" s="17" t="n">
        <f aca="false">IF(H703=1,D703,G703)</f>
        <v>52.2303495413394</v>
      </c>
    </row>
    <row r="704" customFormat="false" ht="15" hidden="false" customHeight="false" outlineLevel="0" collapsed="false">
      <c r="A704" s="13" t="s">
        <v>237</v>
      </c>
      <c r="B704" s="13" t="s">
        <v>63</v>
      </c>
      <c r="C704" s="13" t="s">
        <v>65</v>
      </c>
      <c r="D704" s="15" t="n">
        <v>0.32024</v>
      </c>
      <c r="E704" s="13" t="n">
        <v>1.00074</v>
      </c>
      <c r="F704" s="16" t="n">
        <f aca="false">IF(H704=1,"",D704/E704)</f>
        <v>0.320003197633751</v>
      </c>
      <c r="G704" s="17" t="n">
        <f aca="false">IF(H704=1,"",D704/E704*Notas!$B$3)</f>
        <v>30.4003037752064</v>
      </c>
      <c r="H704" s="13" t="n">
        <v>0</v>
      </c>
      <c r="I704" s="17" t="n">
        <f aca="false">IF(H704=1,D704,G704)</f>
        <v>30.4003037752064</v>
      </c>
    </row>
    <row r="705" customFormat="false" ht="15" hidden="false" customHeight="false" outlineLevel="0" collapsed="false">
      <c r="A705" s="13" t="s">
        <v>237</v>
      </c>
      <c r="B705" s="13" t="s">
        <v>63</v>
      </c>
      <c r="C705" s="13" t="s">
        <v>66</v>
      </c>
      <c r="D705" s="15" t="n">
        <v>0.22997</v>
      </c>
      <c r="E705" s="13" t="n">
        <v>1.00074</v>
      </c>
      <c r="F705" s="16" t="n">
        <f aca="false">IF(H705=1,"",D705/E705)</f>
        <v>0.229799948038452</v>
      </c>
      <c r="G705" s="17" t="n">
        <f aca="false">IF(H705=1,"",D705/E705*Notas!$B$3)</f>
        <v>21.8309950636529</v>
      </c>
      <c r="H705" s="13" t="n">
        <v>0</v>
      </c>
      <c r="I705" s="17" t="n">
        <f aca="false">IF(H705=1,D705,G705)</f>
        <v>21.8309950636529</v>
      </c>
    </row>
    <row r="706" customFormat="false" ht="15" hidden="false" customHeight="false" outlineLevel="0" collapsed="false">
      <c r="A706" s="13" t="s">
        <v>237</v>
      </c>
      <c r="B706" s="13" t="s">
        <v>63</v>
      </c>
      <c r="C706" s="13" t="s">
        <v>67</v>
      </c>
      <c r="D706" s="15" t="n">
        <v>0.25737</v>
      </c>
      <c r="E706" s="13" t="n">
        <v>1.00074</v>
      </c>
      <c r="F706" s="16" t="n">
        <f aca="false">IF(H706=1,"",D706/E706)</f>
        <v>0.257179687031597</v>
      </c>
      <c r="G706" s="17" t="n">
        <f aca="false">IF(H706=1,"",D706/E706*Notas!$B$3)</f>
        <v>24.4320702680017</v>
      </c>
      <c r="H706" s="13" t="n">
        <v>0</v>
      </c>
      <c r="I706" s="17" t="n">
        <f aca="false">IF(H706=1,D706,G706)</f>
        <v>24.4320702680017</v>
      </c>
    </row>
    <row r="707" customFormat="false" ht="15" hidden="false" customHeight="false" outlineLevel="0" collapsed="false">
      <c r="A707" s="13" t="s">
        <v>237</v>
      </c>
      <c r="B707" s="13" t="s">
        <v>63</v>
      </c>
      <c r="C707" s="13" t="s">
        <v>68</v>
      </c>
      <c r="D707" s="15" t="n">
        <v>0.17211</v>
      </c>
      <c r="E707" s="13" t="n">
        <v>1.00074</v>
      </c>
      <c r="F707" s="16" t="n">
        <f aca="false">IF(H707=1,"",D707/E707)</f>
        <v>0.171982732777744</v>
      </c>
      <c r="G707" s="17" t="n">
        <f aca="false">IF(H707=1,"",D707/E707*Notas!$B$3)</f>
        <v>16.3383596138857</v>
      </c>
      <c r="H707" s="13" t="n">
        <v>0</v>
      </c>
      <c r="I707" s="17" t="n">
        <f aca="false">IF(H707=1,D707,G707)</f>
        <v>16.3383596138857</v>
      </c>
    </row>
    <row r="708" customFormat="false" ht="15" hidden="false" customHeight="false" outlineLevel="0" collapsed="false">
      <c r="A708" s="13" t="s">
        <v>237</v>
      </c>
      <c r="B708" s="13" t="s">
        <v>178</v>
      </c>
      <c r="C708" s="13" t="s">
        <v>179</v>
      </c>
      <c r="D708" s="15" t="n">
        <v>0.53634</v>
      </c>
      <c r="E708" s="13" t="n">
        <v>1.00074</v>
      </c>
      <c r="F708" s="16" t="n">
        <f aca="false">IF(H708=1,"",D708/E708)</f>
        <v>0.535943401882607</v>
      </c>
      <c r="G708" s="17" t="n">
        <f aca="false">IF(H708=1,"",D708/E708*Notas!$B$3)</f>
        <v>50.9146231788477</v>
      </c>
      <c r="H708" s="13" t="n">
        <v>0</v>
      </c>
      <c r="I708" s="17" t="n">
        <f aca="false">IF(H708=1,D708,G708)</f>
        <v>50.9146231788477</v>
      </c>
    </row>
    <row r="709" customFormat="false" ht="15" hidden="false" customHeight="false" outlineLevel="0" collapsed="false">
      <c r="A709" s="13" t="s">
        <v>237</v>
      </c>
      <c r="B709" s="13" t="s">
        <v>178</v>
      </c>
      <c r="C709" s="13" t="s">
        <v>180</v>
      </c>
      <c r="D709" s="15" t="n">
        <v>0.46551</v>
      </c>
      <c r="E709" s="13" t="n">
        <v>1.00074</v>
      </c>
      <c r="F709" s="16" t="n">
        <f aca="false">IF(H709=1,"",D709/E709)</f>
        <v>0.46516577732478</v>
      </c>
      <c r="G709" s="17" t="n">
        <f aca="false">IF(H709=1,"",D709/E709*Notas!$B$3)</f>
        <v>44.1907488458541</v>
      </c>
      <c r="H709" s="13" t="n">
        <v>0</v>
      </c>
      <c r="I709" s="17" t="n">
        <f aca="false">IF(H709=1,D709,G709)</f>
        <v>44.1907488458541</v>
      </c>
    </row>
    <row r="710" customFormat="false" ht="15" hidden="false" customHeight="false" outlineLevel="0" collapsed="false">
      <c r="A710" s="13" t="s">
        <v>237</v>
      </c>
      <c r="B710" s="13" t="s">
        <v>178</v>
      </c>
      <c r="C710" s="13" t="s">
        <v>181</v>
      </c>
      <c r="D710" s="15" t="n">
        <v>0.07084</v>
      </c>
      <c r="E710" s="13" t="n">
        <v>1.00074</v>
      </c>
      <c r="F710" s="16" t="n">
        <f aca="false">IF(H710=1,"",D710/E710)</f>
        <v>0.0707876171632992</v>
      </c>
      <c r="G710" s="17" t="n">
        <f aca="false">IF(H710=1,"",D710/E710*Notas!$B$3)</f>
        <v>6.72482363051342</v>
      </c>
      <c r="H710" s="13" t="n">
        <v>0</v>
      </c>
      <c r="I710" s="17" t="n">
        <f aca="false">IF(H710=1,D710,G710)</f>
        <v>6.72482363051342</v>
      </c>
    </row>
    <row r="711" customFormat="false" ht="15" hidden="false" customHeight="false" outlineLevel="0" collapsed="false">
      <c r="A711" s="13" t="s">
        <v>237</v>
      </c>
      <c r="B711" s="13" t="s">
        <v>178</v>
      </c>
      <c r="C711" s="13" t="s">
        <v>73</v>
      </c>
      <c r="D711" s="15" t="n">
        <v>0.06827</v>
      </c>
      <c r="E711" s="13" t="n">
        <v>1.00074</v>
      </c>
      <c r="F711" s="16" t="n">
        <f aca="false">IF(H711=1,"",D711/E711)</f>
        <v>0.0682195175570078</v>
      </c>
      <c r="G711" s="17" t="n">
        <f aca="false">IF(H711=1,"",D711/E711*Notas!$B$3)</f>
        <v>6.48085416791574</v>
      </c>
      <c r="H711" s="13" t="n">
        <v>0</v>
      </c>
      <c r="I711" s="17" t="n">
        <f aca="false">IF(H711=1,D711,G711)</f>
        <v>6.48085416791574</v>
      </c>
    </row>
    <row r="712" customFormat="false" ht="15" hidden="false" customHeight="false" outlineLevel="0" collapsed="false">
      <c r="A712" s="13" t="s">
        <v>237</v>
      </c>
      <c r="B712" s="13" t="s">
        <v>69</v>
      </c>
      <c r="C712" s="13" t="s">
        <v>70</v>
      </c>
      <c r="D712" s="15" t="n">
        <v>0.33249</v>
      </c>
      <c r="E712" s="13" t="n">
        <v>1.00074</v>
      </c>
      <c r="F712" s="16" t="n">
        <f aca="false">IF(H712=1,"",D712/E712)</f>
        <v>0.332244139336891</v>
      </c>
      <c r="G712" s="17" t="n">
        <f aca="false">IF(H712=1,"",D712/E712*Notas!$B$3)</f>
        <v>31.5631932370046</v>
      </c>
      <c r="H712" s="13" t="n">
        <v>0</v>
      </c>
      <c r="I712" s="17" t="n">
        <f aca="false">IF(H712=1,D712,G712)</f>
        <v>31.5631932370046</v>
      </c>
    </row>
    <row r="713" customFormat="false" ht="15" hidden="false" customHeight="false" outlineLevel="0" collapsed="false">
      <c r="A713" s="13" t="s">
        <v>237</v>
      </c>
      <c r="B713" s="13" t="s">
        <v>69</v>
      </c>
      <c r="C713" s="13" t="s">
        <v>71</v>
      </c>
      <c r="D713" s="15" t="n">
        <v>0.07729</v>
      </c>
      <c r="E713" s="13" t="n">
        <v>1.00074</v>
      </c>
      <c r="F713" s="16" t="n">
        <f aca="false">IF(H713=1,"",D713/E713)</f>
        <v>0.0772328476927074</v>
      </c>
      <c r="G713" s="17" t="n">
        <f aca="false">IF(H713=1,"",D713/E713*Notas!$B$3)</f>
        <v>7.3371205308072</v>
      </c>
      <c r="H713" s="13" t="n">
        <v>0</v>
      </c>
      <c r="I713" s="17" t="n">
        <f aca="false">IF(H713=1,D713,G713)</f>
        <v>7.3371205308072</v>
      </c>
    </row>
    <row r="714" customFormat="false" ht="15" hidden="false" customHeight="false" outlineLevel="0" collapsed="false">
      <c r="A714" s="13" t="s">
        <v>237</v>
      </c>
      <c r="B714" s="13" t="s">
        <v>69</v>
      </c>
      <c r="C714" s="13" t="s">
        <v>72</v>
      </c>
      <c r="D714" s="15" t="n">
        <v>0.2552</v>
      </c>
      <c r="E714" s="13" t="n">
        <v>1.00074</v>
      </c>
      <c r="F714" s="16" t="n">
        <f aca="false">IF(H714=1,"",D714/E714)</f>
        <v>0.255011291644183</v>
      </c>
      <c r="G714" s="17" t="n">
        <f aca="false">IF(H714=1,"",D714/E714*Notas!$B$3)</f>
        <v>24.2260727061974</v>
      </c>
      <c r="H714" s="13" t="n">
        <v>0</v>
      </c>
      <c r="I714" s="17" t="n">
        <f aca="false">IF(H714=1,D714,G714)</f>
        <v>24.2260727061974</v>
      </c>
    </row>
    <row r="715" customFormat="false" ht="15" hidden="false" customHeight="false" outlineLevel="0" collapsed="false">
      <c r="A715" s="13" t="s">
        <v>237</v>
      </c>
      <c r="B715" s="13" t="s">
        <v>69</v>
      </c>
      <c r="C715" s="13" t="s">
        <v>73</v>
      </c>
      <c r="D715" s="15" t="n">
        <v>0.38544</v>
      </c>
      <c r="E715" s="13" t="n">
        <v>1.00074</v>
      </c>
      <c r="F715" s="16" t="n">
        <f aca="false">IF(H715=1,"",D715/E715)</f>
        <v>0.38515498531087</v>
      </c>
      <c r="G715" s="17" t="n">
        <f aca="false">IF(H715=1,"",D715/E715*Notas!$B$3)</f>
        <v>36.5897236045327</v>
      </c>
      <c r="H715" s="13" t="n">
        <v>0</v>
      </c>
      <c r="I715" s="17" t="n">
        <f aca="false">IF(H715=1,D715,G715)</f>
        <v>36.5897236045327</v>
      </c>
    </row>
    <row r="716" customFormat="false" ht="15" hidden="false" customHeight="false" outlineLevel="0" collapsed="false">
      <c r="A716" s="13" t="s">
        <v>237</v>
      </c>
      <c r="B716" s="13" t="s">
        <v>69</v>
      </c>
      <c r="C716" s="13" t="s">
        <v>74</v>
      </c>
      <c r="D716" s="15" t="n">
        <v>0.18427</v>
      </c>
      <c r="E716" s="13" t="n">
        <v>1.00074</v>
      </c>
      <c r="F716" s="16" t="n">
        <f aca="false">IF(H716=1,"",D716/E716)</f>
        <v>0.184133741031637</v>
      </c>
      <c r="G716" s="17" t="n">
        <f aca="false">IF(H716=1,"",D716/E716*Notas!$B$3)</f>
        <v>17.4927053980055</v>
      </c>
      <c r="H716" s="13" t="n">
        <v>0</v>
      </c>
      <c r="I716" s="17" t="n">
        <f aca="false">IF(H716=1,D716,G716)</f>
        <v>17.4927053980055</v>
      </c>
    </row>
    <row r="717" customFormat="false" ht="15" hidden="false" customHeight="false" outlineLevel="0" collapsed="false">
      <c r="A717" s="13" t="s">
        <v>237</v>
      </c>
      <c r="B717" s="13" t="s">
        <v>75</v>
      </c>
      <c r="C717" s="13" t="s">
        <v>76</v>
      </c>
      <c r="D717" s="15" t="n">
        <v>0.23653</v>
      </c>
      <c r="E717" s="13" t="n">
        <v>1.00074</v>
      </c>
      <c r="F717" s="16" t="n">
        <f aca="false">IF(H717=1,"",D717/E717)</f>
        <v>0.236355097228051</v>
      </c>
      <c r="G717" s="17" t="n">
        <f aca="false">IF(H717=1,"",D717/E717*Notas!$B$3)</f>
        <v>22.4537342366649</v>
      </c>
      <c r="H717" s="13" t="n">
        <v>0</v>
      </c>
      <c r="I717" s="17" t="n">
        <f aca="false">IF(H717=1,D717,G717)</f>
        <v>22.4537342366649</v>
      </c>
    </row>
    <row r="718" customFormat="false" ht="15" hidden="false" customHeight="false" outlineLevel="0" collapsed="false">
      <c r="A718" s="13" t="s">
        <v>237</v>
      </c>
      <c r="B718" s="13" t="s">
        <v>75</v>
      </c>
      <c r="C718" s="13" t="s">
        <v>77</v>
      </c>
      <c r="D718" s="15" t="n">
        <v>0.23653</v>
      </c>
      <c r="E718" s="13" t="n">
        <v>1.00074</v>
      </c>
      <c r="F718" s="16" t="n">
        <f aca="false">IF(H718=1,"",D718/E718)</f>
        <v>0.236355097228051</v>
      </c>
      <c r="G718" s="17" t="n">
        <f aca="false">IF(H718=1,"",D718/E718*Notas!$B$3)</f>
        <v>22.4537342366649</v>
      </c>
      <c r="H718" s="13" t="n">
        <v>0</v>
      </c>
      <c r="I718" s="17" t="n">
        <f aca="false">IF(H718=1,D718,G718)</f>
        <v>22.4537342366649</v>
      </c>
    </row>
    <row r="719" customFormat="false" ht="15" hidden="false" customHeight="false" outlineLevel="0" collapsed="false">
      <c r="A719" s="13" t="s">
        <v>237</v>
      </c>
      <c r="B719" s="13" t="s">
        <v>75</v>
      </c>
      <c r="C719" s="13" t="s">
        <v>78</v>
      </c>
      <c r="D719" s="15" t="n">
        <v>0.31387</v>
      </c>
      <c r="E719" s="13" t="n">
        <v>1.00074</v>
      </c>
      <c r="F719" s="16" t="n">
        <f aca="false">IF(H719=1,"",D719/E719)</f>
        <v>0.313637907948118</v>
      </c>
      <c r="G719" s="17" t="n">
        <f aca="false">IF(H719=1,"",D719/E719*Notas!$B$3)</f>
        <v>29.7956012550712</v>
      </c>
      <c r="H719" s="13" t="n">
        <v>0</v>
      </c>
      <c r="I719" s="17" t="n">
        <f aca="false">IF(H719=1,D719,G719)</f>
        <v>29.7956012550712</v>
      </c>
    </row>
    <row r="720" customFormat="false" ht="15" hidden="false" customHeight="false" outlineLevel="0" collapsed="false">
      <c r="A720" s="13" t="s">
        <v>237</v>
      </c>
      <c r="B720" s="13" t="s">
        <v>35</v>
      </c>
      <c r="C720" s="13" t="s">
        <v>79</v>
      </c>
      <c r="D720" s="15" t="n">
        <v>23.63584</v>
      </c>
      <c r="E720" s="13" t="n">
        <v>1.00074</v>
      </c>
      <c r="F720" s="16" t="str">
        <f aca="false">IF(H720=1,"",D720/E720)</f>
        <v/>
      </c>
      <c r="G720" s="17" t="str">
        <f aca="false">IF(H720=1,"",D720/E720*Notas!$B$3)</f>
        <v/>
      </c>
      <c r="H720" s="13" t="n">
        <v>1</v>
      </c>
      <c r="I720" s="17" t="n">
        <f aca="false">IF(H720=1,D720,G720)</f>
        <v>23.63584</v>
      </c>
    </row>
    <row r="721" customFormat="false" ht="15" hidden="false" customHeight="false" outlineLevel="0" collapsed="false">
      <c r="A721" s="13" t="s">
        <v>237</v>
      </c>
      <c r="B721" s="13" t="s">
        <v>35</v>
      </c>
      <c r="C721" s="13" t="s">
        <v>80</v>
      </c>
      <c r="D721" s="15" t="n">
        <v>31.36416</v>
      </c>
      <c r="E721" s="13" t="n">
        <v>1.00074</v>
      </c>
      <c r="F721" s="16" t="str">
        <f aca="false">IF(H721=1,"",D721/E721)</f>
        <v/>
      </c>
      <c r="G721" s="17" t="str">
        <f aca="false">IF(H721=1,"",D721/E721*Notas!$B$3)</f>
        <v/>
      </c>
      <c r="H721" s="13" t="n">
        <v>1</v>
      </c>
      <c r="I721" s="17" t="n">
        <f aca="false">IF(H721=1,D721,G721)</f>
        <v>31.36416</v>
      </c>
    </row>
    <row r="722" customFormat="false" ht="15" hidden="false" customHeight="false" outlineLevel="0" collapsed="false">
      <c r="A722" s="13" t="s">
        <v>237</v>
      </c>
      <c r="B722" s="13" t="s">
        <v>75</v>
      </c>
      <c r="C722" s="13" t="s">
        <v>81</v>
      </c>
      <c r="D722" s="15" t="n">
        <v>0.13512</v>
      </c>
      <c r="E722" s="13" t="n">
        <v>1.00074</v>
      </c>
      <c r="F722" s="16" t="n">
        <f aca="false">IF(H722=1,"",D722/E722)</f>
        <v>0.135020085136999</v>
      </c>
      <c r="G722" s="17" t="n">
        <f aca="false">IF(H722=1,"",D722/E722*Notas!$B$3)</f>
        <v>12.8269080880149</v>
      </c>
      <c r="H722" s="13" t="n">
        <v>0</v>
      </c>
      <c r="I722" s="17" t="n">
        <f aca="false">IF(H722=1,D722,G722)</f>
        <v>12.8269080880149</v>
      </c>
    </row>
    <row r="723" customFormat="false" ht="15" hidden="false" customHeight="false" outlineLevel="0" collapsed="false">
      <c r="A723" s="13" t="s">
        <v>237</v>
      </c>
      <c r="B723" s="13" t="s">
        <v>75</v>
      </c>
      <c r="C723" s="13" t="s">
        <v>82</v>
      </c>
      <c r="D723" s="15" t="n">
        <v>0.12596</v>
      </c>
      <c r="E723" s="13" t="n">
        <v>1.00074</v>
      </c>
      <c r="F723" s="16" t="n">
        <f aca="false">IF(H723=1,"",D723/E723)</f>
        <v>0.125866858524692</v>
      </c>
      <c r="G723" s="17" t="n">
        <f aca="false">IF(H723=1,"",D723/E723*Notas!$B$3)</f>
        <v>11.9573515598457</v>
      </c>
      <c r="H723" s="13" t="n">
        <v>0</v>
      </c>
      <c r="I723" s="17" t="n">
        <f aca="false">IF(H723=1,D723,G723)</f>
        <v>11.9573515598457</v>
      </c>
    </row>
    <row r="724" customFormat="false" ht="15" hidden="false" customHeight="false" outlineLevel="0" collapsed="false">
      <c r="A724" s="13" t="s">
        <v>237</v>
      </c>
      <c r="B724" s="13" t="s">
        <v>75</v>
      </c>
      <c r="C724" s="13" t="s">
        <v>83</v>
      </c>
      <c r="D724" s="15" t="n">
        <v>0.39698</v>
      </c>
      <c r="E724" s="13" t="n">
        <v>1.00074</v>
      </c>
      <c r="F724" s="16" t="n">
        <f aca="false">IF(H724=1,"",D724/E724)</f>
        <v>0.396686452025501</v>
      </c>
      <c r="G724" s="17" t="n">
        <f aca="false">IF(H724=1,"",D724/E724*Notas!$B$3)</f>
        <v>37.6852129424226</v>
      </c>
      <c r="H724" s="13" t="n">
        <v>0</v>
      </c>
      <c r="I724" s="17" t="n">
        <f aca="false">IF(H724=1,D724,G724)</f>
        <v>37.6852129424226</v>
      </c>
    </row>
    <row r="725" customFormat="false" ht="15" hidden="false" customHeight="false" outlineLevel="0" collapsed="false">
      <c r="A725" s="13" t="s">
        <v>237</v>
      </c>
      <c r="B725" s="13" t="s">
        <v>75</v>
      </c>
      <c r="C725" s="13" t="s">
        <v>84</v>
      </c>
      <c r="D725" s="15" t="n">
        <v>0.13367</v>
      </c>
      <c r="E725" s="13" t="n">
        <v>1.00074</v>
      </c>
      <c r="F725" s="16" t="n">
        <f aca="false">IF(H725=1,"",D725/E725)</f>
        <v>0.133571157343566</v>
      </c>
      <c r="G725" s="17" t="n">
        <f aca="false">IF(H725=1,"",D725/E725*Notas!$B$3)</f>
        <v>12.6892599476388</v>
      </c>
      <c r="H725" s="13" t="n">
        <v>0</v>
      </c>
      <c r="I725" s="17" t="n">
        <f aca="false">IF(H725=1,D725,G725)</f>
        <v>12.6892599476388</v>
      </c>
    </row>
    <row r="726" customFormat="false" ht="15" hidden="false" customHeight="false" outlineLevel="0" collapsed="false">
      <c r="A726" s="13" t="s">
        <v>237</v>
      </c>
      <c r="B726" s="13" t="s">
        <v>75</v>
      </c>
      <c r="C726" s="13" t="s">
        <v>85</v>
      </c>
      <c r="D726" s="15" t="n">
        <v>0.12428</v>
      </c>
      <c r="E726" s="13" t="n">
        <v>1.00074</v>
      </c>
      <c r="F726" s="16" t="n">
        <f aca="false">IF(H726=1,"",D726/E726)</f>
        <v>0.124188100805404</v>
      </c>
      <c r="G726" s="17" t="n">
        <f aca="false">IF(H726=1,"",D726/E726*Notas!$B$3)</f>
        <v>11.7978695765134</v>
      </c>
      <c r="H726" s="13" t="n">
        <v>0</v>
      </c>
      <c r="I726" s="17" t="n">
        <f aca="false">IF(H726=1,D726,G726)</f>
        <v>11.7978695765134</v>
      </c>
    </row>
    <row r="727" customFormat="false" ht="15" hidden="false" customHeight="false" outlineLevel="0" collapsed="false">
      <c r="A727" s="13" t="s">
        <v>237</v>
      </c>
      <c r="B727" s="13" t="s">
        <v>75</v>
      </c>
      <c r="C727" s="13" t="s">
        <v>86</v>
      </c>
      <c r="D727" s="15" t="n">
        <v>0.39678</v>
      </c>
      <c r="E727" s="13" t="n">
        <v>1.00074</v>
      </c>
      <c r="F727" s="16" t="n">
        <f aca="false">IF(H727=1,"",D727/E727)</f>
        <v>0.396486599916062</v>
      </c>
      <c r="G727" s="17" t="n">
        <f aca="false">IF(H727=1,"",D727/E727*Notas!$B$3)</f>
        <v>37.6662269920259</v>
      </c>
      <c r="H727" s="13" t="n">
        <v>0</v>
      </c>
      <c r="I727" s="17" t="n">
        <f aca="false">IF(H727=1,D727,G727)</f>
        <v>37.6662269920259</v>
      </c>
    </row>
    <row r="728" customFormat="false" ht="15" hidden="false" customHeight="false" outlineLevel="0" collapsed="false">
      <c r="A728" s="13" t="s">
        <v>237</v>
      </c>
      <c r="B728" s="13" t="s">
        <v>75</v>
      </c>
      <c r="C728" s="13" t="s">
        <v>87</v>
      </c>
      <c r="D728" s="15" t="n">
        <v>0.03288</v>
      </c>
      <c r="E728" s="13" t="n">
        <v>1.00074</v>
      </c>
      <c r="F728" s="16" t="n">
        <f aca="false">IF(H728=1,"",D728/E728)</f>
        <v>0.0328556867917741</v>
      </c>
      <c r="G728" s="17" t="n">
        <f aca="false">IF(H728=1,"",D728/E728*Notas!$B$3)</f>
        <v>3.12129024521854</v>
      </c>
      <c r="H728" s="13" t="n">
        <v>0</v>
      </c>
      <c r="I728" s="17" t="n">
        <f aca="false">IF(H728=1,D728,G728)</f>
        <v>3.12129024521854</v>
      </c>
    </row>
    <row r="729" customFormat="false" ht="15" hidden="false" customHeight="false" outlineLevel="0" collapsed="false">
      <c r="A729" s="13" t="s">
        <v>237</v>
      </c>
      <c r="B729" s="13" t="s">
        <v>75</v>
      </c>
      <c r="C729" s="13" t="s">
        <v>88</v>
      </c>
      <c r="D729" s="15" t="n">
        <v>0.13709</v>
      </c>
      <c r="E729" s="13" t="n">
        <v>1.00074</v>
      </c>
      <c r="F729" s="16" t="n">
        <f aca="false">IF(H729=1,"",D729/E729)</f>
        <v>0.136988628414973</v>
      </c>
      <c r="G729" s="17" t="n">
        <f aca="false">IF(H729=1,"",D729/E729*Notas!$B$3)</f>
        <v>13.0139196994224</v>
      </c>
      <c r="H729" s="13" t="n">
        <v>0</v>
      </c>
      <c r="I729" s="17" t="n">
        <f aca="false">IF(H729=1,D729,G729)</f>
        <v>13.0139196994224</v>
      </c>
    </row>
    <row r="730" customFormat="false" ht="15" hidden="false" customHeight="false" outlineLevel="0" collapsed="false">
      <c r="A730" s="13" t="s">
        <v>237</v>
      </c>
      <c r="B730" s="13" t="s">
        <v>75</v>
      </c>
      <c r="C730" s="13" t="s">
        <v>89</v>
      </c>
      <c r="D730" s="15" t="n">
        <v>0.1288</v>
      </c>
      <c r="E730" s="13" t="n">
        <v>1.00074</v>
      </c>
      <c r="F730" s="16" t="n">
        <f aca="false">IF(H730=1,"",D730/E730)</f>
        <v>0.128704758478726</v>
      </c>
      <c r="G730" s="17" t="n">
        <f aca="false">IF(H730=1,"",D730/E730*Notas!$B$3)</f>
        <v>12.2269520554789</v>
      </c>
      <c r="H730" s="13" t="n">
        <v>0</v>
      </c>
      <c r="I730" s="17" t="n">
        <f aca="false">IF(H730=1,D730,G730)</f>
        <v>12.2269520554789</v>
      </c>
    </row>
    <row r="731" customFormat="false" ht="15" hidden="false" customHeight="false" outlineLevel="0" collapsed="false">
      <c r="A731" s="13" t="s">
        <v>237</v>
      </c>
      <c r="B731" s="13" t="s">
        <v>75</v>
      </c>
      <c r="C731" s="13" t="s">
        <v>90</v>
      </c>
      <c r="D731" s="15" t="n">
        <v>0.39855</v>
      </c>
      <c r="E731" s="13" t="n">
        <v>1.00074</v>
      </c>
      <c r="F731" s="16" t="n">
        <f aca="false">IF(H731=1,"",D731/E731)</f>
        <v>0.398255291084597</v>
      </c>
      <c r="G731" s="17" t="n">
        <f aca="false">IF(H731=1,"",D731/E731*Notas!$B$3)</f>
        <v>37.8342526530368</v>
      </c>
      <c r="H731" s="13" t="n">
        <v>0</v>
      </c>
      <c r="I731" s="17" t="n">
        <f aca="false">IF(H731=1,D731,G731)</f>
        <v>37.8342526530368</v>
      </c>
    </row>
    <row r="732" customFormat="false" ht="15" hidden="false" customHeight="false" outlineLevel="0" collapsed="false">
      <c r="A732" s="13" t="s">
        <v>237</v>
      </c>
      <c r="B732" s="13" t="s">
        <v>75</v>
      </c>
      <c r="C732" s="13" t="s">
        <v>91</v>
      </c>
      <c r="D732" s="15" t="n">
        <v>0.13661</v>
      </c>
      <c r="E732" s="13" t="n">
        <v>1.00074</v>
      </c>
      <c r="F732" s="16" t="n">
        <f aca="false">IF(H732=1,"",D732/E732)</f>
        <v>0.136508983352319</v>
      </c>
      <c r="G732" s="17" t="n">
        <f aca="false">IF(H732=1,"",D732/E732*Notas!$B$3)</f>
        <v>12.9683534184703</v>
      </c>
      <c r="H732" s="13" t="n">
        <v>0</v>
      </c>
      <c r="I732" s="17" t="n">
        <f aca="false">IF(H732=1,D732,G732)</f>
        <v>12.9683534184703</v>
      </c>
    </row>
    <row r="733" customFormat="false" ht="15" hidden="false" customHeight="false" outlineLevel="0" collapsed="false">
      <c r="A733" s="13" t="s">
        <v>237</v>
      </c>
      <c r="B733" s="13" t="s">
        <v>75</v>
      </c>
      <c r="C733" s="13" t="s">
        <v>92</v>
      </c>
      <c r="D733" s="15" t="n">
        <v>0.1267</v>
      </c>
      <c r="E733" s="13" t="n">
        <v>1.00074</v>
      </c>
      <c r="F733" s="16" t="n">
        <f aca="false">IF(H733=1,"",D733/E733)</f>
        <v>0.126606311329616</v>
      </c>
      <c r="G733" s="17" t="n">
        <f aca="false">IF(H733=1,"",D733/E733*Notas!$B$3)</f>
        <v>12.0275995763135</v>
      </c>
      <c r="H733" s="13" t="n">
        <v>0</v>
      </c>
      <c r="I733" s="17" t="n">
        <f aca="false">IF(H733=1,D733,G733)</f>
        <v>12.0275995763135</v>
      </c>
    </row>
    <row r="734" customFormat="false" ht="15" hidden="false" customHeight="false" outlineLevel="0" collapsed="false">
      <c r="A734" s="13" t="s">
        <v>237</v>
      </c>
      <c r="B734" s="13" t="s">
        <v>75</v>
      </c>
      <c r="C734" s="13" t="s">
        <v>93</v>
      </c>
      <c r="D734" s="15" t="n">
        <v>0.40258</v>
      </c>
      <c r="E734" s="13" t="n">
        <v>1.00074</v>
      </c>
      <c r="F734" s="16" t="n">
        <f aca="false">IF(H734=1,"",D734/E734)</f>
        <v>0.402282311089794</v>
      </c>
      <c r="G734" s="17" t="n">
        <f aca="false">IF(H734=1,"",D734/E734*Notas!$B$3)</f>
        <v>38.2168195535304</v>
      </c>
      <c r="H734" s="13" t="n">
        <v>0</v>
      </c>
      <c r="I734" s="17" t="n">
        <f aca="false">IF(H734=1,D734,G734)</f>
        <v>38.2168195535304</v>
      </c>
    </row>
    <row r="735" customFormat="false" ht="15" hidden="false" customHeight="false" outlineLevel="0" collapsed="false">
      <c r="A735" s="13" t="s">
        <v>237</v>
      </c>
      <c r="B735" s="13" t="s">
        <v>75</v>
      </c>
      <c r="C735" s="13" t="s">
        <v>94</v>
      </c>
      <c r="D735" s="15" t="n">
        <v>0.04835</v>
      </c>
      <c r="E735" s="13" t="n">
        <v>1.00074</v>
      </c>
      <c r="F735" s="16" t="n">
        <f aca="false">IF(H735=1,"",D735/E735)</f>
        <v>0.0483142474568819</v>
      </c>
      <c r="G735" s="17" t="n">
        <f aca="false">IF(H735=1,"",D735/E735*Notas!$B$3)</f>
        <v>4.58985350840378</v>
      </c>
      <c r="H735" s="13" t="n">
        <v>0</v>
      </c>
      <c r="I735" s="17" t="n">
        <f aca="false">IF(H735=1,D735,G735)</f>
        <v>4.58985350840378</v>
      </c>
    </row>
    <row r="736" customFormat="false" ht="15" hidden="false" customHeight="false" outlineLevel="0" collapsed="false">
      <c r="A736" s="13" t="s">
        <v>237</v>
      </c>
      <c r="B736" s="13" t="s">
        <v>75</v>
      </c>
      <c r="C736" s="13" t="s">
        <v>95</v>
      </c>
      <c r="D736" s="15" t="n">
        <v>0.1784</v>
      </c>
      <c r="E736" s="13" t="n">
        <v>1.00074</v>
      </c>
      <c r="F736" s="16" t="n">
        <f aca="false">IF(H736=1,"",D736/E736)</f>
        <v>0.178268081619602</v>
      </c>
      <c r="G736" s="17" t="n">
        <f aca="false">IF(H736=1,"",D736/E736*Notas!$B$3)</f>
        <v>16.9354677538621</v>
      </c>
      <c r="H736" s="13" t="n">
        <v>0</v>
      </c>
      <c r="I736" s="17" t="n">
        <f aca="false">IF(H736=1,D736,G736)</f>
        <v>16.9354677538621</v>
      </c>
    </row>
    <row r="737" customFormat="false" ht="15" hidden="false" customHeight="false" outlineLevel="0" collapsed="false">
      <c r="A737" s="13" t="s">
        <v>237</v>
      </c>
      <c r="B737" s="13" t="s">
        <v>75</v>
      </c>
      <c r="C737" s="13" t="s">
        <v>96</v>
      </c>
      <c r="D737" s="15" t="n">
        <v>0.16318</v>
      </c>
      <c r="E737" s="13" t="n">
        <v>1.00074</v>
      </c>
      <c r="F737" s="16" t="n">
        <f aca="false">IF(H737=1,"",D737/E737)</f>
        <v>0.163059336091292</v>
      </c>
      <c r="G737" s="17" t="n">
        <f aca="false">IF(H737=1,"",D737/E737*Notas!$B$3)</f>
        <v>15.4906369286728</v>
      </c>
      <c r="H737" s="13" t="n">
        <v>0</v>
      </c>
      <c r="I737" s="17" t="n">
        <f aca="false">IF(H737=1,D737,G737)</f>
        <v>15.4906369286728</v>
      </c>
    </row>
    <row r="738" customFormat="false" ht="15" hidden="false" customHeight="false" outlineLevel="0" collapsed="false">
      <c r="A738" s="13" t="s">
        <v>237</v>
      </c>
      <c r="B738" s="13" t="s">
        <v>75</v>
      </c>
      <c r="C738" s="13" t="s">
        <v>97</v>
      </c>
      <c r="D738" s="15" t="n">
        <v>0.50005</v>
      </c>
      <c r="E738" s="13" t="n">
        <v>1.00074</v>
      </c>
      <c r="F738" s="16" t="n">
        <f aca="false">IF(H738=1,"",D738/E738)</f>
        <v>0.499680236624898</v>
      </c>
      <c r="G738" s="17" t="n">
        <f aca="false">IF(H738=1,"",D738/E738*Notas!$B$3)</f>
        <v>47.4696224793653</v>
      </c>
      <c r="H738" s="13" t="n">
        <v>0</v>
      </c>
      <c r="I738" s="17" t="n">
        <f aca="false">IF(H738=1,D738,G738)</f>
        <v>47.4696224793653</v>
      </c>
    </row>
    <row r="739" customFormat="false" ht="15" hidden="false" customHeight="false" outlineLevel="0" collapsed="false">
      <c r="A739" s="13" t="s">
        <v>237</v>
      </c>
      <c r="B739" s="13" t="s">
        <v>75</v>
      </c>
      <c r="C739" s="13" t="s">
        <v>98</v>
      </c>
      <c r="D739" s="15" t="n">
        <v>0.16779</v>
      </c>
      <c r="E739" s="13" t="n">
        <v>1.00074</v>
      </c>
      <c r="F739" s="16" t="n">
        <f aca="false">IF(H739=1,"",D739/E739)</f>
        <v>0.167665927213862</v>
      </c>
      <c r="G739" s="17" t="n">
        <f aca="false">IF(H739=1,"",D739/E739*Notas!$B$3)</f>
        <v>15.9282630853169</v>
      </c>
      <c r="H739" s="13" t="n">
        <v>0</v>
      </c>
      <c r="I739" s="17" t="n">
        <f aca="false">IF(H739=1,D739,G739)</f>
        <v>15.9282630853169</v>
      </c>
    </row>
    <row r="740" customFormat="false" ht="15" hidden="false" customHeight="false" outlineLevel="0" collapsed="false">
      <c r="A740" s="13" t="s">
        <v>237</v>
      </c>
      <c r="B740" s="13" t="s">
        <v>75</v>
      </c>
      <c r="C740" s="13" t="s">
        <v>99</v>
      </c>
      <c r="D740" s="15" t="n">
        <v>0.15557</v>
      </c>
      <c r="E740" s="13" t="n">
        <v>1.00074</v>
      </c>
      <c r="F740" s="16" t="n">
        <f aca="false">IF(H740=1,"",D740/E740)</f>
        <v>0.155454963327138</v>
      </c>
      <c r="G740" s="17" t="n">
        <f aca="false">IF(H740=1,"",D740/E740*Notas!$B$3)</f>
        <v>14.7682215160781</v>
      </c>
      <c r="H740" s="13" t="n">
        <v>0</v>
      </c>
      <c r="I740" s="17" t="n">
        <f aca="false">IF(H740=1,D740,G740)</f>
        <v>14.7682215160781</v>
      </c>
    </row>
    <row r="741" customFormat="false" ht="15" hidden="false" customHeight="false" outlineLevel="0" collapsed="false">
      <c r="A741" s="13" t="s">
        <v>237</v>
      </c>
      <c r="B741" s="13" t="s">
        <v>75</v>
      </c>
      <c r="C741" s="13" t="s">
        <v>100</v>
      </c>
      <c r="D741" s="15" t="n">
        <v>0.4967</v>
      </c>
      <c r="E741" s="13" t="n">
        <v>1.00074</v>
      </c>
      <c r="F741" s="16" t="n">
        <f aca="false">IF(H741=1,"",D741/E741)</f>
        <v>0.496332713791794</v>
      </c>
      <c r="G741" s="17" t="n">
        <f aca="false">IF(H741=1,"",D741/E741*Notas!$B$3)</f>
        <v>47.1516078102204</v>
      </c>
      <c r="H741" s="13" t="n">
        <v>0</v>
      </c>
      <c r="I741" s="17" t="n">
        <f aca="false">IF(H741=1,D741,G741)</f>
        <v>47.1516078102204</v>
      </c>
    </row>
    <row r="742" customFormat="false" ht="15" hidden="false" customHeight="false" outlineLevel="0" collapsed="false">
      <c r="A742" s="13" t="s">
        <v>237</v>
      </c>
      <c r="B742" s="13" t="s">
        <v>75</v>
      </c>
      <c r="C742" s="13" t="s">
        <v>101</v>
      </c>
      <c r="D742" s="15" t="n">
        <v>0.03348</v>
      </c>
      <c r="E742" s="13" t="n">
        <v>1.00074</v>
      </c>
      <c r="F742" s="16" t="n">
        <f aca="false">IF(H742=1,"",D742/E742)</f>
        <v>0.0334552431200911</v>
      </c>
      <c r="G742" s="17" t="n">
        <f aca="false">IF(H742=1,"",D742/E742*Notas!$B$3)</f>
        <v>3.17824809640866</v>
      </c>
      <c r="H742" s="13" t="n">
        <v>0</v>
      </c>
      <c r="I742" s="17" t="n">
        <f aca="false">IF(H742=1,D742,G742)</f>
        <v>3.17824809640866</v>
      </c>
    </row>
    <row r="743" customFormat="false" ht="15" hidden="false" customHeight="false" outlineLevel="0" collapsed="false">
      <c r="A743" s="13" t="s">
        <v>237</v>
      </c>
      <c r="B743" s="13" t="s">
        <v>102</v>
      </c>
      <c r="C743" s="13" t="s">
        <v>103</v>
      </c>
      <c r="D743" s="15" t="n">
        <v>0.18759</v>
      </c>
      <c r="E743" s="13" t="n">
        <v>1.00074</v>
      </c>
      <c r="F743" s="16" t="n">
        <f aca="false">IF(H743=1,"",D743/E743)</f>
        <v>0.187451286048324</v>
      </c>
      <c r="G743" s="17" t="n">
        <f aca="false">IF(H743=1,"",D743/E743*Notas!$B$3)</f>
        <v>17.8078721745908</v>
      </c>
      <c r="H743" s="13" t="n">
        <v>0</v>
      </c>
      <c r="I743" s="17" t="n">
        <f aca="false">IF(H743=1,D743,G743)</f>
        <v>17.8078721745908</v>
      </c>
    </row>
    <row r="744" customFormat="false" ht="15" hidden="false" customHeight="false" outlineLevel="0" collapsed="false">
      <c r="A744" s="13" t="s">
        <v>237</v>
      </c>
      <c r="B744" s="13" t="s">
        <v>102</v>
      </c>
      <c r="C744" s="13" t="s">
        <v>104</v>
      </c>
      <c r="D744" s="15" t="n">
        <v>0.20592</v>
      </c>
      <c r="E744" s="13" t="n">
        <v>1.00074</v>
      </c>
      <c r="F744" s="16" t="n">
        <f aca="false">IF(H744=1,"",D744/E744)</f>
        <v>0.20576773187841</v>
      </c>
      <c r="G744" s="17" t="n">
        <f aca="false">IF(H744=1,"",D744/E744*Notas!$B$3)</f>
        <v>19.547934528449</v>
      </c>
      <c r="H744" s="13" t="n">
        <v>0</v>
      </c>
      <c r="I744" s="17" t="n">
        <f aca="false">IF(H744=1,D744,G744)</f>
        <v>19.547934528449</v>
      </c>
    </row>
    <row r="745" customFormat="false" ht="15" hidden="false" customHeight="false" outlineLevel="0" collapsed="false">
      <c r="A745" s="13" t="s">
        <v>237</v>
      </c>
      <c r="B745" s="13" t="s">
        <v>102</v>
      </c>
      <c r="C745" s="13" t="s">
        <v>105</v>
      </c>
      <c r="D745" s="15" t="n">
        <v>0.08266</v>
      </c>
      <c r="E745" s="13" t="n">
        <v>1.00074</v>
      </c>
      <c r="F745" s="16" t="n">
        <f aca="false">IF(H745=1,"",D745/E745)</f>
        <v>0.082598876831145</v>
      </c>
      <c r="G745" s="17" t="n">
        <f aca="false">IF(H745=1,"",D745/E745*Notas!$B$3)</f>
        <v>7.84689329895877</v>
      </c>
      <c r="H745" s="13" t="n">
        <v>0</v>
      </c>
      <c r="I745" s="17" t="n">
        <f aca="false">IF(H745=1,D745,G745)</f>
        <v>7.84689329895877</v>
      </c>
    </row>
    <row r="746" customFormat="false" ht="15" hidden="false" customHeight="false" outlineLevel="0" collapsed="false">
      <c r="A746" s="13" t="s">
        <v>237</v>
      </c>
      <c r="B746" s="13" t="s">
        <v>102</v>
      </c>
      <c r="C746" s="13" t="s">
        <v>106</v>
      </c>
      <c r="D746" s="15" t="n">
        <v>-0.11099</v>
      </c>
      <c r="E746" s="13" t="n">
        <v>1.00074</v>
      </c>
      <c r="F746" s="16" t="n">
        <f aca="false">IF(H746=1,"",D746/E746)</f>
        <v>-0.110907928133181</v>
      </c>
      <c r="G746" s="17" t="n">
        <f aca="false">IF(H746=1,"",D746/E746*Notas!$B$3)</f>
        <v>-10.5362531726522</v>
      </c>
      <c r="H746" s="13" t="n">
        <v>0</v>
      </c>
      <c r="I746" s="17" t="n">
        <f aca="false">IF(H746=1,D746,G746)</f>
        <v>-10.5362531726522</v>
      </c>
    </row>
    <row r="747" customFormat="false" ht="15" hidden="false" customHeight="false" outlineLevel="0" collapsed="false">
      <c r="A747" s="13" t="s">
        <v>237</v>
      </c>
      <c r="B747" s="13" t="s">
        <v>102</v>
      </c>
      <c r="C747" s="13" t="s">
        <v>107</v>
      </c>
      <c r="D747" s="15" t="n">
        <v>0.17808</v>
      </c>
      <c r="E747" s="13" t="n">
        <v>1.00074</v>
      </c>
      <c r="F747" s="16" t="n">
        <f aca="false">IF(H747=1,"",D747/E747)</f>
        <v>0.177948318244499</v>
      </c>
      <c r="G747" s="17" t="n">
        <f aca="false">IF(H747=1,"",D747/E747*Notas!$B$3)</f>
        <v>16.9050902332274</v>
      </c>
      <c r="H747" s="13" t="n">
        <v>0</v>
      </c>
      <c r="I747" s="17" t="n">
        <f aca="false">IF(H747=1,D747,G747)</f>
        <v>16.9050902332274</v>
      </c>
    </row>
    <row r="748" customFormat="false" ht="15" hidden="false" customHeight="false" outlineLevel="0" collapsed="false">
      <c r="A748" s="13" t="s">
        <v>237</v>
      </c>
      <c r="B748" s="13" t="s">
        <v>102</v>
      </c>
      <c r="C748" s="13" t="s">
        <v>108</v>
      </c>
      <c r="D748" s="15" t="n">
        <v>0.1961</v>
      </c>
      <c r="E748" s="13" t="n">
        <v>1.00074</v>
      </c>
      <c r="F748" s="16" t="n">
        <f aca="false">IF(H748=1,"",D748/E748)</f>
        <v>0.195954993304954</v>
      </c>
      <c r="G748" s="17" t="n">
        <f aca="false">IF(H748=1,"",D748/E748*Notas!$B$3)</f>
        <v>18.6157243639707</v>
      </c>
      <c r="H748" s="13" t="n">
        <v>0</v>
      </c>
      <c r="I748" s="17" t="n">
        <f aca="false">IF(H748=1,D748,G748)</f>
        <v>18.6157243639707</v>
      </c>
    </row>
    <row r="749" customFormat="false" ht="15" hidden="false" customHeight="false" outlineLevel="0" collapsed="false">
      <c r="A749" s="13" t="s">
        <v>237</v>
      </c>
      <c r="B749" s="13" t="s">
        <v>102</v>
      </c>
      <c r="C749" s="13" t="s">
        <v>109</v>
      </c>
      <c r="D749" s="15" t="n">
        <v>0.08255</v>
      </c>
      <c r="E749" s="13" t="n">
        <v>1.00074</v>
      </c>
      <c r="F749" s="16" t="n">
        <f aca="false">IF(H749=1,"",D749/E749)</f>
        <v>0.0824889581709535</v>
      </c>
      <c r="G749" s="17" t="n">
        <f aca="false">IF(H749=1,"",D749/E749*Notas!$B$3)</f>
        <v>7.83645102624058</v>
      </c>
      <c r="H749" s="13" t="n">
        <v>0</v>
      </c>
      <c r="I749" s="17" t="n">
        <f aca="false">IF(H749=1,D749,G749)</f>
        <v>7.83645102624058</v>
      </c>
    </row>
    <row r="750" customFormat="false" ht="15" hidden="false" customHeight="false" outlineLevel="0" collapsed="false">
      <c r="A750" s="13" t="s">
        <v>237</v>
      </c>
      <c r="B750" s="13" t="s">
        <v>102</v>
      </c>
      <c r="C750" s="13" t="s">
        <v>110</v>
      </c>
      <c r="D750" s="15" t="n">
        <v>0.12388</v>
      </c>
      <c r="E750" s="13" t="n">
        <v>1.00074</v>
      </c>
      <c r="F750" s="16" t="n">
        <f aca="false">IF(H750=1,"",D750/E750)</f>
        <v>0.123788396586526</v>
      </c>
      <c r="G750" s="17" t="n">
        <f aca="false">IF(H750=1,"",D750/E750*Notas!$B$3)</f>
        <v>11.75989767572</v>
      </c>
      <c r="H750" s="13" t="n">
        <v>0</v>
      </c>
      <c r="I750" s="17" t="n">
        <f aca="false">IF(H750=1,D750,G750)</f>
        <v>11.75989767572</v>
      </c>
    </row>
    <row r="751" customFormat="false" ht="15" hidden="false" customHeight="false" outlineLevel="0" collapsed="false">
      <c r="A751" s="13" t="s">
        <v>237</v>
      </c>
      <c r="B751" s="13" t="s">
        <v>102</v>
      </c>
      <c r="C751" s="13" t="s">
        <v>111</v>
      </c>
      <c r="D751" s="15" t="n">
        <v>0.43588</v>
      </c>
      <c r="E751" s="13" t="n">
        <v>1.00074</v>
      </c>
      <c r="F751" s="16" t="n">
        <f aca="false">IF(H751=1,"",D751/E751)</f>
        <v>0.43555768731139</v>
      </c>
      <c r="G751" s="17" t="n">
        <f aca="false">IF(H751=1,"",D751/E751*Notas!$B$3)</f>
        <v>41.377980294582</v>
      </c>
      <c r="H751" s="13" t="n">
        <v>0</v>
      </c>
      <c r="I751" s="17" t="n">
        <f aca="false">IF(H751=1,D751,G751)</f>
        <v>41.377980294582</v>
      </c>
    </row>
    <row r="752" customFormat="false" ht="15" hidden="false" customHeight="false" outlineLevel="0" collapsed="false">
      <c r="A752" s="13" t="s">
        <v>237</v>
      </c>
      <c r="B752" s="13" t="s">
        <v>102</v>
      </c>
      <c r="C752" s="13" t="s">
        <v>112</v>
      </c>
      <c r="D752" s="15" t="n">
        <v>0.08271</v>
      </c>
      <c r="E752" s="13" t="n">
        <v>1.00074</v>
      </c>
      <c r="F752" s="16" t="n">
        <f aca="false">IF(H752=1,"",D752/E752)</f>
        <v>0.0826488398585047</v>
      </c>
      <c r="G752" s="17" t="n">
        <f aca="false">IF(H752=1,"",D752/E752*Notas!$B$3)</f>
        <v>7.85163978655795</v>
      </c>
      <c r="H752" s="13" t="n">
        <v>0</v>
      </c>
      <c r="I752" s="17" t="n">
        <f aca="false">IF(H752=1,D752,G752)</f>
        <v>7.85163978655795</v>
      </c>
    </row>
    <row r="753" customFormat="false" ht="15" hidden="false" customHeight="false" outlineLevel="0" collapsed="false">
      <c r="A753" s="13" t="s">
        <v>237</v>
      </c>
      <c r="B753" s="13" t="s">
        <v>17</v>
      </c>
      <c r="C753" s="13" t="s">
        <v>113</v>
      </c>
      <c r="D753" s="15" t="n">
        <v>0</v>
      </c>
      <c r="E753" s="13" t="n">
        <v>1.00074</v>
      </c>
      <c r="F753" s="16" t="str">
        <f aca="false">IF(H753=1,"",D753/E753)</f>
        <v/>
      </c>
      <c r="G753" s="17" t="str">
        <f aca="false">IF(H753=1,"",D753/E753*Notas!$B$3)</f>
        <v/>
      </c>
      <c r="H753" s="13" t="n">
        <v>1</v>
      </c>
      <c r="I753" s="17" t="n">
        <f aca="false">IF(H753=1,D753,G753)</f>
        <v>0</v>
      </c>
    </row>
    <row r="754" customFormat="false" ht="15" hidden="false" customHeight="false" outlineLevel="0" collapsed="false">
      <c r="A754" s="13" t="s">
        <v>237</v>
      </c>
      <c r="B754" s="13" t="s">
        <v>114</v>
      </c>
      <c r="C754" s="13" t="s">
        <v>115</v>
      </c>
      <c r="D754" s="15" t="n">
        <v>0.48763</v>
      </c>
      <c r="E754" s="13" t="n">
        <v>1.00074</v>
      </c>
      <c r="F754" s="16" t="n">
        <f aca="false">IF(H754=1,"",D754/E754)</f>
        <v>0.487269420628735</v>
      </c>
      <c r="G754" s="17" t="n">
        <f aca="false">IF(H754=1,"",D754/E754*Notas!$B$3)</f>
        <v>46.2905949597298</v>
      </c>
      <c r="H754" s="13" t="n">
        <v>0</v>
      </c>
      <c r="I754" s="17" t="n">
        <f aca="false">IF(H754=1,D754,G754)</f>
        <v>46.2905949597298</v>
      </c>
    </row>
    <row r="755" customFormat="false" ht="15" hidden="false" customHeight="false" outlineLevel="0" collapsed="false">
      <c r="A755" s="13" t="s">
        <v>237</v>
      </c>
      <c r="B755" s="13" t="s">
        <v>114</v>
      </c>
      <c r="C755" s="13" t="s">
        <v>116</v>
      </c>
      <c r="D755" s="15" t="n">
        <v>0.33333</v>
      </c>
      <c r="E755" s="13" t="n">
        <v>1.00074</v>
      </c>
      <c r="F755" s="16" t="n">
        <f aca="false">IF(H755=1,"",D755/E755)</f>
        <v>0.333083518196535</v>
      </c>
      <c r="G755" s="17" t="n">
        <f aca="false">IF(H755=1,"",D755/E755*Notas!$B$3)</f>
        <v>31.6429342286708</v>
      </c>
      <c r="H755" s="13" t="n">
        <v>0</v>
      </c>
      <c r="I755" s="17" t="n">
        <f aca="false">IF(H755=1,D755,G755)</f>
        <v>31.6429342286708</v>
      </c>
    </row>
    <row r="756" customFormat="false" ht="15" hidden="false" customHeight="false" outlineLevel="0" collapsed="false">
      <c r="A756" s="13" t="s">
        <v>237</v>
      </c>
      <c r="B756" s="13" t="s">
        <v>114</v>
      </c>
      <c r="C756" s="13" t="s">
        <v>117</v>
      </c>
      <c r="D756" s="15" t="n">
        <v>0.15148</v>
      </c>
      <c r="E756" s="13" t="n">
        <v>1.00074</v>
      </c>
      <c r="F756" s="16" t="n">
        <f aca="false">IF(H756=1,"",D756/E756)</f>
        <v>0.15136798768911</v>
      </c>
      <c r="G756" s="17" t="n">
        <f aca="false">IF(H756=1,"",D756/E756*Notas!$B$3)</f>
        <v>14.3799588304655</v>
      </c>
      <c r="H756" s="13" t="n">
        <v>0</v>
      </c>
      <c r="I756" s="17" t="n">
        <f aca="false">IF(H756=1,D756,G756)</f>
        <v>14.3799588304655</v>
      </c>
    </row>
    <row r="757" customFormat="false" ht="15" hidden="false" customHeight="false" outlineLevel="0" collapsed="false">
      <c r="A757" s="13" t="s">
        <v>237</v>
      </c>
      <c r="B757" s="13" t="s">
        <v>114</v>
      </c>
      <c r="C757" s="13" t="s">
        <v>118</v>
      </c>
      <c r="D757" s="15" t="n">
        <v>0.80116</v>
      </c>
      <c r="E757" s="13" t="n">
        <v>1.00074</v>
      </c>
      <c r="F757" s="16" t="n">
        <f aca="false">IF(H757=1,"",D757/E757)</f>
        <v>0.800567579990807</v>
      </c>
      <c r="G757" s="17" t="n">
        <f aca="false">IF(H757=1,"",D757/E757*Notas!$B$3)</f>
        <v>76.0539200991267</v>
      </c>
      <c r="H757" s="13" t="n">
        <v>0</v>
      </c>
      <c r="I757" s="17" t="n">
        <f aca="false">IF(H757=1,D757,G757)</f>
        <v>76.0539200991267</v>
      </c>
    </row>
    <row r="758" customFormat="false" ht="15" hidden="false" customHeight="false" outlineLevel="0" collapsed="false">
      <c r="A758" s="13" t="s">
        <v>237</v>
      </c>
      <c r="B758" s="13" t="s">
        <v>114</v>
      </c>
      <c r="C758" s="13" t="s">
        <v>119</v>
      </c>
      <c r="D758" s="15" t="n">
        <v>0.33333</v>
      </c>
      <c r="E758" s="13" t="n">
        <v>1.00074</v>
      </c>
      <c r="F758" s="16" t="n">
        <f aca="false">IF(H758=1,"",D758/E758)</f>
        <v>0.333083518196535</v>
      </c>
      <c r="G758" s="17" t="n">
        <f aca="false">IF(H758=1,"",D758/E758*Notas!$B$3)</f>
        <v>31.6429342286708</v>
      </c>
      <c r="H758" s="13" t="n">
        <v>0</v>
      </c>
      <c r="I758" s="17" t="n">
        <f aca="false">IF(H758=1,D758,G758)</f>
        <v>31.6429342286708</v>
      </c>
    </row>
    <row r="759" customFormat="false" ht="15" hidden="false" customHeight="false" outlineLevel="0" collapsed="false">
      <c r="A759" s="13" t="s">
        <v>237</v>
      </c>
      <c r="B759" s="13" t="s">
        <v>114</v>
      </c>
      <c r="C759" s="13" t="s">
        <v>120</v>
      </c>
      <c r="D759" s="15" t="n">
        <v>1</v>
      </c>
      <c r="E759" s="13" t="n">
        <v>1.00074</v>
      </c>
      <c r="F759" s="16" t="str">
        <f aca="false">IF(H759=1,"",D759/E759)</f>
        <v/>
      </c>
      <c r="G759" s="17" t="str">
        <f aca="false">IF(H759=1,"",D759/E759*Notas!$B$3)</f>
        <v/>
      </c>
      <c r="H759" s="13" t="n">
        <v>1</v>
      </c>
      <c r="I759" s="17" t="n">
        <f aca="false">IF(H759=1,D759,G759)</f>
        <v>1</v>
      </c>
    </row>
    <row r="760" customFormat="false" ht="15" hidden="false" customHeight="false" outlineLevel="0" collapsed="false">
      <c r="A760" s="13" t="s">
        <v>237</v>
      </c>
      <c r="B760" s="13" t="s">
        <v>114</v>
      </c>
      <c r="C760" s="13" t="s">
        <v>121</v>
      </c>
      <c r="D760" s="15" t="n">
        <v>0.32024</v>
      </c>
      <c r="E760" s="13" t="n">
        <v>1.00074</v>
      </c>
      <c r="F760" s="16" t="n">
        <f aca="false">IF(H760=1,"",D760/E760)</f>
        <v>0.320003197633751</v>
      </c>
      <c r="G760" s="17" t="n">
        <f aca="false">IF(H760=1,"",D760/E760*Notas!$B$3)</f>
        <v>30.4003037752064</v>
      </c>
      <c r="H760" s="13" t="n">
        <v>0</v>
      </c>
      <c r="I760" s="17" t="n">
        <f aca="false">IF(H760=1,D760,G760)</f>
        <v>30.4003037752064</v>
      </c>
    </row>
    <row r="761" customFormat="false" ht="15" hidden="false" customHeight="false" outlineLevel="0" collapsed="false">
      <c r="A761" s="13" t="s">
        <v>237</v>
      </c>
      <c r="B761" s="13" t="s">
        <v>114</v>
      </c>
      <c r="C761" s="13" t="s">
        <v>122</v>
      </c>
      <c r="D761" s="15" t="n">
        <v>0.23481</v>
      </c>
      <c r="E761" s="13" t="n">
        <v>1.00074</v>
      </c>
      <c r="F761" s="16" t="n">
        <f aca="false">IF(H761=1,"",D761/E761)</f>
        <v>0.234636369086876</v>
      </c>
      <c r="G761" s="17" t="n">
        <f aca="false">IF(H761=1,"",D761/E761*Notas!$B$3)</f>
        <v>22.2904550632532</v>
      </c>
      <c r="H761" s="13" t="n">
        <v>0</v>
      </c>
      <c r="I761" s="17" t="n">
        <f aca="false">IF(H761=1,D761,G761)</f>
        <v>22.2904550632532</v>
      </c>
    </row>
    <row r="762" customFormat="false" ht="15" hidden="false" customHeight="false" outlineLevel="0" collapsed="false">
      <c r="A762" s="13" t="s">
        <v>237</v>
      </c>
      <c r="B762" s="13" t="s">
        <v>114</v>
      </c>
      <c r="C762" s="13" t="s">
        <v>123</v>
      </c>
      <c r="D762" s="15" t="n">
        <v>0.14772</v>
      </c>
      <c r="E762" s="13" t="n">
        <v>1.00074</v>
      </c>
      <c r="F762" s="16" t="n">
        <f aca="false">IF(H762=1,"",D762/E762)</f>
        <v>0.147610768031657</v>
      </c>
      <c r="G762" s="17" t="n">
        <f aca="false">IF(H762=1,"",D762/E762*Notas!$B$3)</f>
        <v>14.0230229630074</v>
      </c>
      <c r="H762" s="13" t="n">
        <v>0</v>
      </c>
      <c r="I762" s="17" t="n">
        <f aca="false">IF(H762=1,D762,G762)</f>
        <v>14.0230229630074</v>
      </c>
    </row>
    <row r="763" customFormat="false" ht="15" hidden="false" customHeight="false" outlineLevel="0" collapsed="false">
      <c r="A763" s="13" t="s">
        <v>237</v>
      </c>
      <c r="B763" s="13" t="s">
        <v>114</v>
      </c>
      <c r="C763" s="13" t="s">
        <v>124</v>
      </c>
      <c r="D763" s="15" t="n">
        <v>0.60819</v>
      </c>
      <c r="E763" s="13" t="n">
        <v>1.00074</v>
      </c>
      <c r="F763" s="16" t="n">
        <f aca="false">IF(H763=1,"",D763/E763)</f>
        <v>0.607740272198573</v>
      </c>
      <c r="G763" s="17" t="n">
        <f aca="false">IF(H763=1,"",D763/E763*Notas!$B$3)</f>
        <v>57.7353258588644</v>
      </c>
      <c r="H763" s="13" t="n">
        <v>0</v>
      </c>
      <c r="I763" s="17" t="n">
        <f aca="false">IF(H763=1,D763,G763)</f>
        <v>57.7353258588644</v>
      </c>
    </row>
    <row r="764" customFormat="false" ht="15" hidden="false" customHeight="false" outlineLevel="0" collapsed="false">
      <c r="A764" s="13" t="s">
        <v>237</v>
      </c>
      <c r="B764" s="13" t="s">
        <v>114</v>
      </c>
      <c r="C764" s="13" t="s">
        <v>125</v>
      </c>
      <c r="D764" s="15" t="n">
        <v>0.44667</v>
      </c>
      <c r="E764" s="13" t="n">
        <v>1.00074</v>
      </c>
      <c r="F764" s="16" t="n">
        <f aca="false">IF(H764=1,"",D764/E764)</f>
        <v>0.446339708615624</v>
      </c>
      <c r="G764" s="17" t="n">
        <f aca="false">IF(H764=1,"",D764/E764*Notas!$B$3)</f>
        <v>42.4022723184843</v>
      </c>
      <c r="H764" s="13" t="n">
        <v>0</v>
      </c>
      <c r="I764" s="17" t="n">
        <f aca="false">IF(H764=1,D764,G764)</f>
        <v>42.4022723184843</v>
      </c>
    </row>
    <row r="765" customFormat="false" ht="15" hidden="false" customHeight="false" outlineLevel="0" collapsed="false">
      <c r="A765" s="13" t="s">
        <v>237</v>
      </c>
      <c r="B765" s="13" t="s">
        <v>114</v>
      </c>
      <c r="C765" s="13" t="s">
        <v>126</v>
      </c>
      <c r="D765" s="15" t="n">
        <v>3</v>
      </c>
      <c r="E765" s="13" t="n">
        <v>1.00074</v>
      </c>
      <c r="F765" s="16" t="str">
        <f aca="false">IF(H765=1,"",D765/E765)</f>
        <v/>
      </c>
      <c r="G765" s="17" t="str">
        <f aca="false">IF(H765=1,"",D765/E765*Notas!$B$3)</f>
        <v/>
      </c>
      <c r="H765" s="13" t="n">
        <v>1</v>
      </c>
      <c r="I765" s="17" t="n">
        <f aca="false">IF(H765=1,D765,G765)</f>
        <v>3</v>
      </c>
    </row>
    <row r="766" customFormat="false" ht="15" hidden="false" customHeight="false" outlineLevel="0" collapsed="false">
      <c r="A766" s="13" t="s">
        <v>237</v>
      </c>
      <c r="B766" s="13" t="s">
        <v>114</v>
      </c>
      <c r="C766" s="13" t="s">
        <v>127</v>
      </c>
      <c r="D766" s="15" t="n">
        <v>0.27838</v>
      </c>
      <c r="E766" s="13" t="n">
        <v>1.00074</v>
      </c>
      <c r="F766" s="16" t="n">
        <f aca="false">IF(H766=1,"",D766/E766)</f>
        <v>0.278174151128165</v>
      </c>
      <c r="G766" s="17" t="n">
        <f aca="false">IF(H766=1,"",D766/E766*Notas!$B$3)</f>
        <v>26.4265443571757</v>
      </c>
      <c r="H766" s="13" t="n">
        <v>0</v>
      </c>
      <c r="I766" s="17" t="n">
        <f aca="false">IF(H766=1,D766,G766)</f>
        <v>26.4265443571757</v>
      </c>
    </row>
    <row r="767" customFormat="false" ht="15" hidden="false" customHeight="false" outlineLevel="0" collapsed="false">
      <c r="A767" s="13" t="s">
        <v>237</v>
      </c>
      <c r="B767" s="13" t="s">
        <v>114</v>
      </c>
      <c r="C767" s="13" t="s">
        <v>128</v>
      </c>
      <c r="D767" s="15" t="n">
        <v>0.25969</v>
      </c>
      <c r="E767" s="13" t="n">
        <v>1.00074</v>
      </c>
      <c r="F767" s="16" t="n">
        <f aca="false">IF(H767=1,"",D767/E767)</f>
        <v>0.259497971501089</v>
      </c>
      <c r="G767" s="17" t="n">
        <f aca="false">IF(H767=1,"",D767/E767*Notas!$B$3)</f>
        <v>24.6523072926035</v>
      </c>
      <c r="H767" s="13" t="n">
        <v>0</v>
      </c>
      <c r="I767" s="17" t="n">
        <f aca="false">IF(H767=1,D767,G767)</f>
        <v>24.6523072926035</v>
      </c>
    </row>
    <row r="768" customFormat="false" ht="15" hidden="false" customHeight="false" outlineLevel="0" collapsed="false">
      <c r="A768" s="13" t="s">
        <v>237</v>
      </c>
      <c r="B768" s="13" t="s">
        <v>114</v>
      </c>
      <c r="C768" s="13" t="s">
        <v>129</v>
      </c>
      <c r="D768" s="15" t="n">
        <v>0.14011</v>
      </c>
      <c r="E768" s="13" t="n">
        <v>1.00074</v>
      </c>
      <c r="F768" s="16" t="n">
        <f aca="false">IF(H768=1,"",D768/E768)</f>
        <v>0.140006395267502</v>
      </c>
      <c r="G768" s="17" t="n">
        <f aca="false">IF(H768=1,"",D768/E768*Notas!$B$3)</f>
        <v>13.3006075504127</v>
      </c>
      <c r="H768" s="13" t="n">
        <v>0</v>
      </c>
      <c r="I768" s="17" t="n">
        <f aca="false">IF(H768=1,D768,G768)</f>
        <v>13.3006075504127</v>
      </c>
    </row>
    <row r="769" customFormat="false" ht="15" hidden="false" customHeight="false" outlineLevel="0" collapsed="false">
      <c r="A769" s="13" t="s">
        <v>237</v>
      </c>
      <c r="B769" s="13" t="s">
        <v>114</v>
      </c>
      <c r="C769" s="13" t="s">
        <v>130</v>
      </c>
      <c r="D769" s="15" t="n">
        <v>0.64847</v>
      </c>
      <c r="E769" s="13" t="n">
        <v>1.00074</v>
      </c>
      <c r="F769" s="16" t="n">
        <f aca="false">IF(H769=1,"",D769/E769)</f>
        <v>0.647990487039591</v>
      </c>
      <c r="G769" s="17" t="n">
        <f aca="false">IF(H769=1,"",D769/E769*Notas!$B$3)</f>
        <v>61.5590962687611</v>
      </c>
      <c r="H769" s="13" t="n">
        <v>0</v>
      </c>
      <c r="I769" s="17" t="n">
        <f aca="false">IF(H769=1,D769,G769)</f>
        <v>61.5590962687611</v>
      </c>
    </row>
    <row r="770" customFormat="false" ht="15" hidden="false" customHeight="false" outlineLevel="0" collapsed="false">
      <c r="A770" s="13" t="s">
        <v>237</v>
      </c>
      <c r="B770" s="13" t="s">
        <v>114</v>
      </c>
      <c r="C770" s="13" t="s">
        <v>131</v>
      </c>
      <c r="D770" s="15" t="n">
        <v>0.46819</v>
      </c>
      <c r="E770" s="13" t="n">
        <v>1.00074</v>
      </c>
      <c r="F770" s="16" t="n">
        <f aca="false">IF(H770=1,"",D770/E770)</f>
        <v>0.467843795591263</v>
      </c>
      <c r="G770" s="17" t="n">
        <f aca="false">IF(H770=1,"",D770/E770*Notas!$B$3)</f>
        <v>44.4451605811699</v>
      </c>
      <c r="H770" s="13" t="n">
        <v>0</v>
      </c>
      <c r="I770" s="17" t="n">
        <f aca="false">IF(H770=1,D770,G770)</f>
        <v>44.4451605811699</v>
      </c>
    </row>
    <row r="771" customFormat="false" ht="15" hidden="false" customHeight="false" outlineLevel="0" collapsed="false">
      <c r="A771" s="13" t="s">
        <v>237</v>
      </c>
      <c r="B771" s="13" t="s">
        <v>114</v>
      </c>
      <c r="C771" s="13" t="s">
        <v>132</v>
      </c>
      <c r="D771" s="15" t="n">
        <v>3</v>
      </c>
      <c r="E771" s="13" t="n">
        <v>1.00074</v>
      </c>
      <c r="F771" s="16" t="str">
        <f aca="false">IF(H771=1,"",D771/E771)</f>
        <v/>
      </c>
      <c r="G771" s="17" t="str">
        <f aca="false">IF(H771=1,"",D771/E771*Notas!$B$3)</f>
        <v/>
      </c>
      <c r="H771" s="13" t="n">
        <v>1</v>
      </c>
      <c r="I771" s="17" t="n">
        <f aca="false">IF(H771=1,D771,G771)</f>
        <v>3</v>
      </c>
    </row>
    <row r="772" customFormat="false" ht="15" hidden="false" customHeight="false" outlineLevel="0" collapsed="false">
      <c r="A772" s="13" t="s">
        <v>237</v>
      </c>
      <c r="B772" s="13" t="s">
        <v>114</v>
      </c>
      <c r="C772" s="13" t="s">
        <v>133</v>
      </c>
      <c r="D772" s="15" t="n">
        <v>0.5404</v>
      </c>
      <c r="E772" s="13" t="n">
        <v>1.00074</v>
      </c>
      <c r="F772" s="16" t="n">
        <f aca="false">IF(H772=1,"",D772/E772)</f>
        <v>0.540000399704219</v>
      </c>
      <c r="G772" s="17" t="n">
        <f aca="false">IF(H772=1,"",D772/E772*Notas!$B$3)</f>
        <v>51.3000379719008</v>
      </c>
      <c r="H772" s="13" t="n">
        <v>0</v>
      </c>
      <c r="I772" s="17" t="n">
        <f aca="false">IF(H772=1,D772,G772)</f>
        <v>51.3000379719008</v>
      </c>
    </row>
    <row r="773" customFormat="false" ht="15" hidden="false" customHeight="false" outlineLevel="0" collapsed="false">
      <c r="A773" s="13" t="s">
        <v>237</v>
      </c>
      <c r="B773" s="13" t="s">
        <v>114</v>
      </c>
      <c r="C773" s="13" t="s">
        <v>134</v>
      </c>
      <c r="D773" s="15" t="n">
        <v>0.21356</v>
      </c>
      <c r="E773" s="13" t="n">
        <v>1.00074</v>
      </c>
      <c r="F773" s="16" t="n">
        <f aca="false">IF(H773=1,"",D773/E773)</f>
        <v>0.21340208245898</v>
      </c>
      <c r="G773" s="17" t="n">
        <f aca="false">IF(H773=1,"",D773/E773*Notas!$B$3)</f>
        <v>20.2731978336031</v>
      </c>
      <c r="H773" s="13" t="n">
        <v>0</v>
      </c>
      <c r="I773" s="17" t="n">
        <f aca="false">IF(H773=1,D773,G773)</f>
        <v>20.2731978336031</v>
      </c>
    </row>
    <row r="774" customFormat="false" ht="15" hidden="false" customHeight="false" outlineLevel="0" collapsed="false">
      <c r="A774" s="13" t="s">
        <v>237</v>
      </c>
      <c r="B774" s="13" t="s">
        <v>114</v>
      </c>
      <c r="C774" s="13" t="s">
        <v>135</v>
      </c>
      <c r="D774" s="15" t="n">
        <v>0.11826</v>
      </c>
      <c r="E774" s="13" t="n">
        <v>1.00074</v>
      </c>
      <c r="F774" s="16" t="n">
        <f aca="false">IF(H774=1,"",D774/E774)</f>
        <v>0.11817255231129</v>
      </c>
      <c r="G774" s="17" t="n">
        <f aca="false">IF(H774=1,"",D774/E774*Notas!$B$3)</f>
        <v>11.2263924695725</v>
      </c>
      <c r="H774" s="13" t="n">
        <v>0</v>
      </c>
      <c r="I774" s="17" t="n">
        <f aca="false">IF(H774=1,D774,G774)</f>
        <v>11.2263924695725</v>
      </c>
    </row>
    <row r="775" customFormat="false" ht="15" hidden="false" customHeight="false" outlineLevel="0" collapsed="false">
      <c r="A775" s="13" t="s">
        <v>237</v>
      </c>
      <c r="B775" s="13" t="s">
        <v>114</v>
      </c>
      <c r="C775" s="13" t="s">
        <v>136</v>
      </c>
      <c r="D775" s="15" t="n">
        <v>0.52825</v>
      </c>
      <c r="E775" s="13" t="n">
        <v>1.00074</v>
      </c>
      <c r="F775" s="16" t="n">
        <f aca="false">IF(H775=1,"",D775/E775)</f>
        <v>0.527859384055799</v>
      </c>
      <c r="G775" s="17" t="n">
        <f aca="false">IF(H775=1,"",D775/E775*Notas!$B$3)</f>
        <v>50.1466414853009</v>
      </c>
      <c r="H775" s="13" t="n">
        <v>0</v>
      </c>
      <c r="I775" s="17" t="n">
        <f aca="false">IF(H775=1,D775,G775)</f>
        <v>50.1466414853009</v>
      </c>
    </row>
    <row r="776" customFormat="false" ht="15" hidden="false" customHeight="false" outlineLevel="0" collapsed="false">
      <c r="A776" s="13" t="s">
        <v>237</v>
      </c>
      <c r="B776" s="13" t="s">
        <v>114</v>
      </c>
      <c r="C776" s="13" t="s">
        <v>137</v>
      </c>
      <c r="D776" s="15" t="n">
        <v>0.21356</v>
      </c>
      <c r="E776" s="13" t="n">
        <v>1.00074</v>
      </c>
      <c r="F776" s="16" t="n">
        <f aca="false">IF(H776=1,"",D776/E776)</f>
        <v>0.21340208245898</v>
      </c>
      <c r="G776" s="17" t="n">
        <f aca="false">IF(H776=1,"",D776/E776*Notas!$B$3)</f>
        <v>20.2731978336031</v>
      </c>
      <c r="H776" s="13" t="n">
        <v>0</v>
      </c>
      <c r="I776" s="17" t="n">
        <f aca="false">IF(H776=1,D776,G776)</f>
        <v>20.2731978336031</v>
      </c>
    </row>
    <row r="777" customFormat="false" ht="15" hidden="false" customHeight="false" outlineLevel="0" collapsed="false">
      <c r="A777" s="13" t="s">
        <v>237</v>
      </c>
      <c r="B777" s="13" t="s">
        <v>114</v>
      </c>
      <c r="C777" s="13" t="s">
        <v>138</v>
      </c>
      <c r="D777" s="15" t="n">
        <v>2</v>
      </c>
      <c r="E777" s="13" t="n">
        <v>1.00074</v>
      </c>
      <c r="F777" s="16" t="str">
        <f aca="false">IF(H777=1,"",D777/E777)</f>
        <v/>
      </c>
      <c r="G777" s="17" t="str">
        <f aca="false">IF(H777=1,"",D777/E777*Notas!$B$3)</f>
        <v/>
      </c>
      <c r="H777" s="13" t="n">
        <v>1</v>
      </c>
      <c r="I777" s="17" t="n">
        <f aca="false">IF(H777=1,D777,G777)</f>
        <v>2</v>
      </c>
    </row>
    <row r="778" customFormat="false" ht="15" hidden="false" customHeight="false" outlineLevel="0" collapsed="false">
      <c r="A778" s="13" t="s">
        <v>237</v>
      </c>
      <c r="B778" s="13" t="s">
        <v>139</v>
      </c>
      <c r="C778" s="13" t="s">
        <v>182</v>
      </c>
      <c r="D778" s="15" t="n">
        <v>0.19654</v>
      </c>
      <c r="E778" s="13" t="n">
        <v>1.00074</v>
      </c>
      <c r="F778" s="16" t="n">
        <f aca="false">IF(H778=1,"",D778/E778)</f>
        <v>0.19639466794572</v>
      </c>
      <c r="G778" s="17" t="n">
        <f aca="false">IF(H778=1,"",D778/E778*Notas!$B$3)</f>
        <v>18.6574934548434</v>
      </c>
      <c r="H778" s="13" t="n">
        <v>0</v>
      </c>
      <c r="I778" s="17" t="n">
        <f aca="false">IF(H778=1,D778,G778)</f>
        <v>18.6574934548434</v>
      </c>
    </row>
    <row r="779" customFormat="false" ht="15" hidden="false" customHeight="false" outlineLevel="0" collapsed="false">
      <c r="A779" s="13" t="s">
        <v>237</v>
      </c>
      <c r="B779" s="13" t="s">
        <v>139</v>
      </c>
      <c r="C779" s="13" t="s">
        <v>183</v>
      </c>
      <c r="D779" s="15" t="n">
        <v>0.45479</v>
      </c>
      <c r="E779" s="13" t="n">
        <v>1.00074</v>
      </c>
      <c r="F779" s="16" t="n">
        <f aca="false">IF(H779=1,"",D779/E779)</f>
        <v>0.454453704258849</v>
      </c>
      <c r="G779" s="17" t="n">
        <f aca="false">IF(H779=1,"",D779/E779*Notas!$B$3)</f>
        <v>43.1731019045906</v>
      </c>
      <c r="H779" s="13" t="n">
        <v>0</v>
      </c>
      <c r="I779" s="17" t="n">
        <f aca="false">IF(H779=1,D779,G779)</f>
        <v>43.1731019045906</v>
      </c>
    </row>
    <row r="780" customFormat="false" ht="15" hidden="false" customHeight="false" outlineLevel="0" collapsed="false">
      <c r="A780" s="13" t="s">
        <v>237</v>
      </c>
      <c r="B780" s="13" t="s">
        <v>139</v>
      </c>
      <c r="C780" s="13" t="s">
        <v>184</v>
      </c>
      <c r="D780" s="15" t="n">
        <v>0.25826</v>
      </c>
      <c r="E780" s="13" t="n">
        <v>1.00074</v>
      </c>
      <c r="F780" s="16" t="n">
        <f aca="false">IF(H780=1,"",D780/E780)</f>
        <v>0.2580690289186</v>
      </c>
      <c r="G780" s="17" t="n">
        <f aca="false">IF(H780=1,"",D780/E780*Notas!$B$3)</f>
        <v>24.516557747267</v>
      </c>
      <c r="H780" s="13" t="n">
        <v>0</v>
      </c>
      <c r="I780" s="17" t="n">
        <f aca="false">IF(H780=1,D780,G780)</f>
        <v>24.516557747267</v>
      </c>
    </row>
    <row r="781" customFormat="false" ht="15" hidden="false" customHeight="false" outlineLevel="0" collapsed="false">
      <c r="A781" s="13" t="s">
        <v>237</v>
      </c>
      <c r="B781" s="13" t="s">
        <v>139</v>
      </c>
      <c r="C781" s="13" t="s">
        <v>185</v>
      </c>
      <c r="D781" s="15" t="n">
        <v>0.14689</v>
      </c>
      <c r="E781" s="13" t="n">
        <v>1.00074</v>
      </c>
      <c r="F781" s="16" t="n">
        <f aca="false">IF(H781=1,"",D781/E781)</f>
        <v>0.146781381777485</v>
      </c>
      <c r="G781" s="17" t="n">
        <f aca="false">IF(H781=1,"",D781/E781*Notas!$B$3)</f>
        <v>13.944231268861</v>
      </c>
      <c r="H781" s="13" t="n">
        <v>0</v>
      </c>
      <c r="I781" s="17" t="n">
        <f aca="false">IF(H781=1,D781,G781)</f>
        <v>13.944231268861</v>
      </c>
    </row>
    <row r="782" customFormat="false" ht="15" hidden="false" customHeight="false" outlineLevel="0" collapsed="false">
      <c r="A782" s="13" t="s">
        <v>237</v>
      </c>
      <c r="B782" s="13" t="s">
        <v>139</v>
      </c>
      <c r="C782" s="13" t="s">
        <v>186</v>
      </c>
      <c r="D782" s="15" t="n">
        <v>0.13899</v>
      </c>
      <c r="E782" s="13" t="n">
        <v>1.00074</v>
      </c>
      <c r="F782" s="16" t="n">
        <f aca="false">IF(H782=1,"",D782/E782)</f>
        <v>0.138887223454644</v>
      </c>
      <c r="G782" s="17" t="n">
        <f aca="false">IF(H782=1,"",D782/E782*Notas!$B$3)</f>
        <v>13.1942862281911</v>
      </c>
      <c r="H782" s="13" t="n">
        <v>0</v>
      </c>
      <c r="I782" s="17" t="n">
        <f aca="false">IF(H782=1,D782,G782)</f>
        <v>13.1942862281911</v>
      </c>
    </row>
    <row r="783" customFormat="false" ht="15" hidden="false" customHeight="false" outlineLevel="0" collapsed="false">
      <c r="A783" s="13" t="s">
        <v>237</v>
      </c>
      <c r="B783" s="13" t="s">
        <v>139</v>
      </c>
      <c r="C783" s="13" t="s">
        <v>187</v>
      </c>
      <c r="D783" s="15" t="n">
        <v>0.23751</v>
      </c>
      <c r="E783" s="13" t="n">
        <v>1.00074</v>
      </c>
      <c r="F783" s="16" t="n">
        <f aca="false">IF(H783=1,"",D783/E783)</f>
        <v>0.237334372564302</v>
      </c>
      <c r="G783" s="17" t="n">
        <f aca="false">IF(H783=1,"",D783/E783*Notas!$B$3)</f>
        <v>22.5467653936087</v>
      </c>
      <c r="H783" s="13" t="n">
        <v>0</v>
      </c>
      <c r="I783" s="17" t="n">
        <f aca="false">IF(H783=1,D783,G783)</f>
        <v>22.5467653936087</v>
      </c>
    </row>
    <row r="784" customFormat="false" ht="15" hidden="false" customHeight="false" outlineLevel="0" collapsed="false">
      <c r="A784" s="13" t="s">
        <v>237</v>
      </c>
      <c r="B784" s="13" t="s">
        <v>143</v>
      </c>
      <c r="C784" s="13" t="s">
        <v>188</v>
      </c>
      <c r="D784" s="15" t="n">
        <v>0.54154</v>
      </c>
      <c r="E784" s="13" t="n">
        <v>1.00074</v>
      </c>
      <c r="F784" s="16" t="n">
        <f aca="false">IF(H784=1,"",D784/E784)</f>
        <v>0.541139556728021</v>
      </c>
      <c r="G784" s="17" t="n">
        <f aca="false">IF(H784=1,"",D784/E784*Notas!$B$3)</f>
        <v>51.408257889162</v>
      </c>
      <c r="H784" s="13" t="n">
        <v>0</v>
      </c>
      <c r="I784" s="17" t="n">
        <f aca="false">IF(H784=1,D784,G784)</f>
        <v>51.408257889162</v>
      </c>
    </row>
    <row r="785" customFormat="false" ht="15" hidden="false" customHeight="false" outlineLevel="0" collapsed="false">
      <c r="A785" s="13" t="s">
        <v>237</v>
      </c>
      <c r="B785" s="13" t="s">
        <v>143</v>
      </c>
      <c r="C785" s="13" t="s">
        <v>189</v>
      </c>
      <c r="D785" s="15" t="n">
        <v>0.33527</v>
      </c>
      <c r="E785" s="13" t="n">
        <v>1.00074</v>
      </c>
      <c r="F785" s="16" t="n">
        <f aca="false">IF(H785=1,"",D785/E785)</f>
        <v>0.335022083658093</v>
      </c>
      <c r="G785" s="17" t="n">
        <f aca="false">IF(H785=1,"",D785/E785*Notas!$B$3)</f>
        <v>31.8270979475188</v>
      </c>
      <c r="H785" s="13" t="n">
        <v>0</v>
      </c>
      <c r="I785" s="17" t="n">
        <f aca="false">IF(H785=1,D785,G785)</f>
        <v>31.8270979475188</v>
      </c>
    </row>
    <row r="786" customFormat="false" ht="15" hidden="false" customHeight="false" outlineLevel="0" collapsed="false">
      <c r="A786" s="13" t="s">
        <v>237</v>
      </c>
      <c r="B786" s="13" t="s">
        <v>143</v>
      </c>
      <c r="C786" s="13" t="s">
        <v>190</v>
      </c>
      <c r="D786" s="15" t="n">
        <v>0.20627</v>
      </c>
      <c r="E786" s="13" t="n">
        <v>1.00074</v>
      </c>
      <c r="F786" s="16" t="n">
        <f aca="false">IF(H786=1,"",D786/E786)</f>
        <v>0.206117473069928</v>
      </c>
      <c r="G786" s="17" t="n">
        <f aca="false">IF(H786=1,"",D786/E786*Notas!$B$3)</f>
        <v>19.5811599416432</v>
      </c>
      <c r="H786" s="13" t="n">
        <v>0</v>
      </c>
      <c r="I786" s="17" t="n">
        <f aca="false">IF(H786=1,D786,G786)</f>
        <v>19.5811599416432</v>
      </c>
    </row>
    <row r="787" customFormat="false" ht="15" hidden="false" customHeight="false" outlineLevel="0" collapsed="false">
      <c r="A787" s="13" t="s">
        <v>237</v>
      </c>
      <c r="B787" s="13" t="s">
        <v>143</v>
      </c>
      <c r="C787" s="13" t="s">
        <v>191</v>
      </c>
      <c r="D787" s="15" t="n">
        <v>0.14559</v>
      </c>
      <c r="E787" s="13" t="n">
        <v>1.00074</v>
      </c>
      <c r="F787" s="16" t="n">
        <f aca="false">IF(H787=1,"",D787/E787)</f>
        <v>0.145482343066131</v>
      </c>
      <c r="G787" s="17" t="n">
        <f aca="false">IF(H787=1,"",D787/E787*Notas!$B$3)</f>
        <v>13.8208225912825</v>
      </c>
      <c r="H787" s="13" t="n">
        <v>0</v>
      </c>
      <c r="I787" s="17" t="n">
        <f aca="false">IF(H787=1,D787,G787)</f>
        <v>13.8208225912825</v>
      </c>
    </row>
    <row r="788" customFormat="false" ht="15" hidden="false" customHeight="false" outlineLevel="0" collapsed="false">
      <c r="A788" s="13" t="s">
        <v>237</v>
      </c>
      <c r="B788" s="13" t="s">
        <v>143</v>
      </c>
      <c r="C788" s="13" t="s">
        <v>192</v>
      </c>
      <c r="D788" s="15" t="n">
        <v>0.12741</v>
      </c>
      <c r="E788" s="13" t="n">
        <v>1.00074</v>
      </c>
      <c r="F788" s="16" t="n">
        <f aca="false">IF(H788=1,"",D788/E788)</f>
        <v>0.127315786318125</v>
      </c>
      <c r="G788" s="17" t="n">
        <f aca="false">IF(H788=1,"",D788/E788*Notas!$B$3)</f>
        <v>12.0949997002218</v>
      </c>
      <c r="H788" s="13" t="n">
        <v>0</v>
      </c>
      <c r="I788" s="17" t="n">
        <f aca="false">IF(H788=1,D788,G788)</f>
        <v>12.0949997002218</v>
      </c>
    </row>
    <row r="789" customFormat="false" ht="15" hidden="false" customHeight="false" outlineLevel="0" collapsed="false">
      <c r="A789" s="13" t="s">
        <v>237</v>
      </c>
      <c r="B789" s="13" t="s">
        <v>143</v>
      </c>
      <c r="C789" s="13" t="s">
        <v>193</v>
      </c>
      <c r="D789" s="15" t="n">
        <v>0.345</v>
      </c>
      <c r="E789" s="13" t="n">
        <v>1.00074</v>
      </c>
      <c r="F789" s="16" t="n">
        <f aca="false">IF(H789=1,"",D789/E789)</f>
        <v>0.344744888782301</v>
      </c>
      <c r="G789" s="17" t="n">
        <f aca="false">IF(H789=1,"",D789/E789*Notas!$B$3)</f>
        <v>32.7507644343186</v>
      </c>
      <c r="H789" s="13" t="n">
        <v>0</v>
      </c>
      <c r="I789" s="17" t="n">
        <f aca="false">IF(H789=1,D789,G789)</f>
        <v>32.7507644343186</v>
      </c>
    </row>
    <row r="790" customFormat="false" ht="15" hidden="false" customHeight="false" outlineLevel="0" collapsed="false">
      <c r="A790" s="13" t="s">
        <v>237</v>
      </c>
      <c r="B790" s="13" t="s">
        <v>139</v>
      </c>
      <c r="C790" s="13" t="s">
        <v>194</v>
      </c>
      <c r="D790" s="15" t="n">
        <v>0.19674</v>
      </c>
      <c r="E790" s="13" t="n">
        <v>1.00074</v>
      </c>
      <c r="F790" s="16" t="n">
        <f aca="false">IF(H790=1,"",D790/E790)</f>
        <v>0.196594520055159</v>
      </c>
      <c r="G790" s="17" t="n">
        <f aca="false">IF(H790=1,"",D790/E790*Notas!$B$3)</f>
        <v>18.6764794052401</v>
      </c>
      <c r="H790" s="13" t="n">
        <v>0</v>
      </c>
      <c r="I790" s="17" t="n">
        <f aca="false">IF(H790=1,D790,G790)</f>
        <v>18.6764794052401</v>
      </c>
    </row>
    <row r="791" customFormat="false" ht="15" hidden="false" customHeight="false" outlineLevel="0" collapsed="false">
      <c r="A791" s="13" t="s">
        <v>237</v>
      </c>
      <c r="B791" s="13" t="s">
        <v>139</v>
      </c>
      <c r="C791" s="13" t="s">
        <v>195</v>
      </c>
      <c r="D791" s="15" t="n">
        <v>0.45969</v>
      </c>
      <c r="E791" s="13" t="n">
        <v>1.00074</v>
      </c>
      <c r="F791" s="16" t="n">
        <f aca="false">IF(H791=1,"",D791/E791)</f>
        <v>0.459350080940104</v>
      </c>
      <c r="G791" s="17" t="n">
        <f aca="false">IF(H791=1,"",D791/E791*Notas!$B$3)</f>
        <v>43.6382576893099</v>
      </c>
      <c r="H791" s="13" t="n">
        <v>0</v>
      </c>
      <c r="I791" s="17" t="n">
        <f aca="false">IF(H791=1,D791,G791)</f>
        <v>43.6382576893099</v>
      </c>
    </row>
    <row r="792" customFormat="false" ht="15" hidden="false" customHeight="false" outlineLevel="0" collapsed="false">
      <c r="A792" s="13" t="s">
        <v>237</v>
      </c>
      <c r="B792" s="13" t="s">
        <v>139</v>
      </c>
      <c r="C792" s="13" t="s">
        <v>196</v>
      </c>
      <c r="D792" s="15" t="n">
        <v>0.26296</v>
      </c>
      <c r="E792" s="13" t="n">
        <v>1.00074</v>
      </c>
      <c r="F792" s="16" t="n">
        <f aca="false">IF(H792=1,"",D792/E792)</f>
        <v>0.262765553490417</v>
      </c>
      <c r="G792" s="17" t="n">
        <f aca="false">IF(H792=1,"",D792/E792*Notas!$B$3)</f>
        <v>24.9627275815896</v>
      </c>
      <c r="H792" s="13" t="n">
        <v>0</v>
      </c>
      <c r="I792" s="17" t="n">
        <f aca="false">IF(H792=1,D792,G792)</f>
        <v>24.9627275815896</v>
      </c>
    </row>
    <row r="793" customFormat="false" ht="15" hidden="false" customHeight="false" outlineLevel="0" collapsed="false">
      <c r="A793" s="13" t="s">
        <v>237</v>
      </c>
      <c r="B793" s="13" t="s">
        <v>139</v>
      </c>
      <c r="C793" s="13" t="s">
        <v>197</v>
      </c>
      <c r="D793" s="15" t="n">
        <v>0.13762</v>
      </c>
      <c r="E793" s="13" t="n">
        <v>1.00074</v>
      </c>
      <c r="F793" s="16" t="n">
        <f aca="false">IF(H793=1,"",D793/E793)</f>
        <v>0.137518236504986</v>
      </c>
      <c r="G793" s="17" t="n">
        <f aca="false">IF(H793=1,"",D793/E793*Notas!$B$3)</f>
        <v>13.0642324679737</v>
      </c>
      <c r="H793" s="13" t="n">
        <v>0</v>
      </c>
      <c r="I793" s="17" t="n">
        <f aca="false">IF(H793=1,D793,G793)</f>
        <v>13.0642324679737</v>
      </c>
    </row>
    <row r="794" customFormat="false" ht="15" hidden="false" customHeight="false" outlineLevel="0" collapsed="false">
      <c r="A794" s="13" t="s">
        <v>237</v>
      </c>
      <c r="B794" s="13" t="s">
        <v>139</v>
      </c>
      <c r="C794" s="13" t="s">
        <v>198</v>
      </c>
      <c r="D794" s="15" t="n">
        <v>0.12569</v>
      </c>
      <c r="E794" s="13" t="n">
        <v>1.00074</v>
      </c>
      <c r="F794" s="16" t="n">
        <f aca="false">IF(H794=1,"",D794/E794)</f>
        <v>0.125597058176949</v>
      </c>
      <c r="G794" s="17" t="n">
        <f aca="false">IF(H794=1,"",D794/E794*Notas!$B$3)</f>
        <v>11.9317205268102</v>
      </c>
      <c r="H794" s="13" t="n">
        <v>0</v>
      </c>
      <c r="I794" s="17" t="n">
        <f aca="false">IF(H794=1,D794,G794)</f>
        <v>11.9317205268102</v>
      </c>
    </row>
    <row r="795" customFormat="false" ht="15" hidden="false" customHeight="false" outlineLevel="0" collapsed="false">
      <c r="A795" s="13" t="s">
        <v>237</v>
      </c>
      <c r="B795" s="13" t="s">
        <v>139</v>
      </c>
      <c r="C795" s="13" t="s">
        <v>199</v>
      </c>
      <c r="D795" s="15" t="n">
        <v>0.24404</v>
      </c>
      <c r="E795" s="13" t="n">
        <v>1.00074</v>
      </c>
      <c r="F795" s="16" t="n">
        <f aca="false">IF(H795=1,"",D795/E795)</f>
        <v>0.243859543937486</v>
      </c>
      <c r="G795" s="17" t="n">
        <f aca="false">IF(H795=1,"",D795/E795*Notas!$B$3)</f>
        <v>23.1666566740612</v>
      </c>
      <c r="H795" s="13" t="n">
        <v>0</v>
      </c>
      <c r="I795" s="17" t="n">
        <f aca="false">IF(H795=1,D795,G795)</f>
        <v>23.1666566740612</v>
      </c>
    </row>
    <row r="796" customFormat="false" ht="15" hidden="false" customHeight="false" outlineLevel="0" collapsed="false">
      <c r="A796" s="13" t="s">
        <v>237</v>
      </c>
      <c r="B796" s="13" t="s">
        <v>143</v>
      </c>
      <c r="C796" s="13" t="s">
        <v>200</v>
      </c>
      <c r="D796" s="15" t="n">
        <v>0.53856</v>
      </c>
      <c r="E796" s="13" t="n">
        <v>1.00074</v>
      </c>
      <c r="F796" s="16" t="n">
        <f aca="false">IF(H796=1,"",D796/E796)</f>
        <v>0.53816176029738</v>
      </c>
      <c r="G796" s="17" t="n">
        <f aca="false">IF(H796=1,"",D796/E796*Notas!$B$3)</f>
        <v>51.1253672282511</v>
      </c>
      <c r="H796" s="13" t="n">
        <v>0</v>
      </c>
      <c r="I796" s="17" t="n">
        <f aca="false">IF(H796=1,D796,G796)</f>
        <v>51.1253672282511</v>
      </c>
    </row>
    <row r="797" customFormat="false" ht="15" hidden="false" customHeight="false" outlineLevel="0" collapsed="false">
      <c r="A797" s="13" t="s">
        <v>237</v>
      </c>
      <c r="B797" s="13" t="s">
        <v>143</v>
      </c>
      <c r="C797" s="13" t="s">
        <v>201</v>
      </c>
      <c r="D797" s="15" t="n">
        <v>0.34004</v>
      </c>
      <c r="E797" s="13" t="n">
        <v>1.00074</v>
      </c>
      <c r="F797" s="16" t="n">
        <f aca="false">IF(H797=1,"",D797/E797)</f>
        <v>0.339788556468214</v>
      </c>
      <c r="G797" s="17" t="n">
        <f aca="false">IF(H797=1,"",D797/E797*Notas!$B$3)</f>
        <v>32.2799128644803</v>
      </c>
      <c r="H797" s="13" t="n">
        <v>0</v>
      </c>
      <c r="I797" s="17" t="n">
        <f aca="false">IF(H797=1,D797,G797)</f>
        <v>32.2799128644803</v>
      </c>
    </row>
    <row r="798" customFormat="false" ht="15" hidden="false" customHeight="false" outlineLevel="0" collapsed="false">
      <c r="A798" s="13" t="s">
        <v>237</v>
      </c>
      <c r="B798" s="13" t="s">
        <v>143</v>
      </c>
      <c r="C798" s="13" t="s">
        <v>202</v>
      </c>
      <c r="D798" s="15" t="n">
        <v>0.19851</v>
      </c>
      <c r="E798" s="13" t="n">
        <v>1.00074</v>
      </c>
      <c r="F798" s="16" t="n">
        <f aca="false">IF(H798=1,"",D798/E798)</f>
        <v>0.198363211223694</v>
      </c>
      <c r="G798" s="17" t="n">
        <f aca="false">IF(H798=1,"",D798/E798*Notas!$B$3)</f>
        <v>18.844505066251</v>
      </c>
      <c r="H798" s="13" t="n">
        <v>0</v>
      </c>
      <c r="I798" s="17" t="n">
        <f aca="false">IF(H798=1,D798,G798)</f>
        <v>18.844505066251</v>
      </c>
    </row>
    <row r="799" customFormat="false" ht="15" hidden="false" customHeight="false" outlineLevel="0" collapsed="false">
      <c r="A799" s="13" t="s">
        <v>237</v>
      </c>
      <c r="B799" s="13" t="s">
        <v>143</v>
      </c>
      <c r="C799" s="13" t="s">
        <v>203</v>
      </c>
      <c r="D799" s="15" t="n">
        <v>0.14017</v>
      </c>
      <c r="E799" s="13" t="n">
        <v>1.00074</v>
      </c>
      <c r="F799" s="16" t="n">
        <f aca="false">IF(H799=1,"",D799/E799)</f>
        <v>0.140066350900334</v>
      </c>
      <c r="G799" s="17" t="n">
        <f aca="false">IF(H799=1,"",D799/E799*Notas!$B$3)</f>
        <v>13.3063033355317</v>
      </c>
      <c r="H799" s="13" t="n">
        <v>0</v>
      </c>
      <c r="I799" s="17" t="n">
        <f aca="false">IF(H799=1,D799,G799)</f>
        <v>13.3063033355317</v>
      </c>
    </row>
    <row r="800" customFormat="false" ht="15" hidden="false" customHeight="false" outlineLevel="0" collapsed="false">
      <c r="A800" s="13" t="s">
        <v>237</v>
      </c>
      <c r="B800" s="13" t="s">
        <v>143</v>
      </c>
      <c r="C800" s="13" t="s">
        <v>204</v>
      </c>
      <c r="D800" s="15" t="n">
        <v>0.12893</v>
      </c>
      <c r="E800" s="13" t="n">
        <v>1.00074</v>
      </c>
      <c r="F800" s="16" t="n">
        <f aca="false">IF(H800=1,"",D800/E800)</f>
        <v>0.128834662349861</v>
      </c>
      <c r="G800" s="17" t="n">
        <f aca="false">IF(H800=1,"",D800/E800*Notas!$B$3)</f>
        <v>12.2392929232368</v>
      </c>
      <c r="H800" s="13" t="n">
        <v>0</v>
      </c>
      <c r="I800" s="17" t="n">
        <f aca="false">IF(H800=1,D800,G800)</f>
        <v>12.2392929232368</v>
      </c>
    </row>
    <row r="801" customFormat="false" ht="15" hidden="false" customHeight="false" outlineLevel="0" collapsed="false">
      <c r="A801" s="13" t="s">
        <v>237</v>
      </c>
      <c r="B801" s="13" t="s">
        <v>143</v>
      </c>
      <c r="C801" s="13" t="s">
        <v>205</v>
      </c>
      <c r="D801" s="15" t="n">
        <v>0.34182</v>
      </c>
      <c r="E801" s="13" t="n">
        <v>1.00074</v>
      </c>
      <c r="F801" s="16" t="n">
        <f aca="false">IF(H801=1,"",D801/E801)</f>
        <v>0.341567240242221</v>
      </c>
      <c r="G801" s="17" t="n">
        <f aca="false">IF(H801=1,"",D801/E801*Notas!$B$3)</f>
        <v>32.448887823011</v>
      </c>
      <c r="H801" s="13" t="n">
        <v>0</v>
      </c>
      <c r="I801" s="17" t="n">
        <f aca="false">IF(H801=1,D801,G801)</f>
        <v>32.448887823011</v>
      </c>
    </row>
    <row r="802" customFormat="false" ht="15" hidden="false" customHeight="false" outlineLevel="0" collapsed="false">
      <c r="A802" s="13" t="s">
        <v>237</v>
      </c>
      <c r="B802" s="13" t="s">
        <v>114</v>
      </c>
      <c r="C802" s="13" t="s">
        <v>206</v>
      </c>
      <c r="D802" s="15" t="n">
        <v>0.3075</v>
      </c>
      <c r="E802" s="13" t="n">
        <v>1.00074</v>
      </c>
      <c r="F802" s="16" t="n">
        <f aca="false">IF(H802=1,"",D802/E802)</f>
        <v>0.307272618262486</v>
      </c>
      <c r="G802" s="17" t="n">
        <f aca="false">IF(H802=1,"",D802/E802*Notas!$B$3)</f>
        <v>29.1908987349361</v>
      </c>
      <c r="H802" s="13" t="n">
        <v>0</v>
      </c>
      <c r="I802" s="17" t="n">
        <f aca="false">IF(H802=1,D802,G802)</f>
        <v>29.1908987349361</v>
      </c>
    </row>
    <row r="803" customFormat="false" ht="15" hidden="false" customHeight="false" outlineLevel="0" collapsed="false">
      <c r="A803" s="13" t="s">
        <v>238</v>
      </c>
      <c r="B803" s="13" t="s">
        <v>17</v>
      </c>
      <c r="C803" s="13" t="s">
        <v>18</v>
      </c>
      <c r="D803" s="15" t="n">
        <v>0.69821</v>
      </c>
      <c r="E803" s="13" t="n">
        <v>0.69821</v>
      </c>
      <c r="F803" s="16" t="n">
        <f aca="false">IF(H803=1,"",D803/E803)</f>
        <v>1</v>
      </c>
      <c r="G803" s="17" t="n">
        <f aca="false">IF(H803=1,"",D803/E803*Notas!$B$3)</f>
        <v>95</v>
      </c>
      <c r="H803" s="13" t="n">
        <v>0</v>
      </c>
      <c r="I803" s="17" t="n">
        <f aca="false">IF(H803=1,D803,G803)</f>
        <v>95</v>
      </c>
    </row>
    <row r="804" customFormat="false" ht="15" hidden="false" customHeight="false" outlineLevel="0" collapsed="false">
      <c r="A804" s="13" t="s">
        <v>238</v>
      </c>
      <c r="B804" s="13" t="s">
        <v>17</v>
      </c>
      <c r="C804" s="13" t="s">
        <v>19</v>
      </c>
      <c r="D804" s="15" t="n">
        <v>0.93827</v>
      </c>
      <c r="E804" s="13" t="n">
        <v>0.69821</v>
      </c>
      <c r="F804" s="16" t="n">
        <f aca="false">IF(H804=1,"",D804/E804)</f>
        <v>1.34382205926584</v>
      </c>
      <c r="G804" s="17" t="n">
        <f aca="false">IF(H804=1,"",D804/E804*Notas!$B$3)</f>
        <v>127.663095630255</v>
      </c>
      <c r="H804" s="13" t="n">
        <v>0</v>
      </c>
      <c r="I804" s="17" t="n">
        <f aca="false">IF(H804=1,D804,G804)</f>
        <v>127.663095630255</v>
      </c>
    </row>
    <row r="805" customFormat="false" ht="15" hidden="false" customHeight="false" outlineLevel="0" collapsed="false">
      <c r="A805" s="13" t="s">
        <v>238</v>
      </c>
      <c r="B805" s="13" t="s">
        <v>17</v>
      </c>
      <c r="C805" s="13" t="s">
        <v>20</v>
      </c>
      <c r="D805" s="15" t="n">
        <v>0.99938</v>
      </c>
      <c r="E805" s="13" t="n">
        <v>0.69821</v>
      </c>
      <c r="F805" s="16" t="n">
        <f aca="false">IF(H805=1,"",D805/E805)</f>
        <v>1.43134587015368</v>
      </c>
      <c r="G805" s="17" t="n">
        <f aca="false">IF(H805=1,"",D805/E805*Notas!$B$3)</f>
        <v>135.977857664599</v>
      </c>
      <c r="H805" s="13" t="n">
        <v>0</v>
      </c>
      <c r="I805" s="17" t="n">
        <f aca="false">IF(H805=1,D805,G805)</f>
        <v>135.977857664599</v>
      </c>
    </row>
    <row r="806" customFormat="false" ht="15" hidden="false" customHeight="false" outlineLevel="0" collapsed="false">
      <c r="A806" s="13" t="s">
        <v>238</v>
      </c>
      <c r="B806" s="13" t="s">
        <v>17</v>
      </c>
      <c r="C806" s="13" t="s">
        <v>21</v>
      </c>
      <c r="D806" s="15" t="n">
        <v>11738</v>
      </c>
      <c r="E806" s="13" t="n">
        <v>0.69821</v>
      </c>
      <c r="F806" s="16" t="str">
        <f aca="false">IF(H806=1,"",D806/E806)</f>
        <v/>
      </c>
      <c r="G806" s="17" t="str">
        <f aca="false">IF(H806=1,"",D806/E806*Notas!$B$3)</f>
        <v/>
      </c>
      <c r="H806" s="13" t="n">
        <v>1</v>
      </c>
      <c r="I806" s="17" t="n">
        <f aca="false">IF(H806=1,D806,G806)</f>
        <v>11738</v>
      </c>
    </row>
    <row r="807" customFormat="false" ht="15" hidden="false" customHeight="false" outlineLevel="0" collapsed="false">
      <c r="A807" s="13" t="s">
        <v>238</v>
      </c>
      <c r="B807" s="13" t="s">
        <v>17</v>
      </c>
      <c r="C807" s="13" t="s">
        <v>22</v>
      </c>
      <c r="D807" s="15" t="n">
        <v>5871</v>
      </c>
      <c r="E807" s="13" t="n">
        <v>0.69821</v>
      </c>
      <c r="F807" s="16" t="str">
        <f aca="false">IF(H807=1,"",D807/E807)</f>
        <v/>
      </c>
      <c r="G807" s="17" t="str">
        <f aca="false">IF(H807=1,"",D807/E807*Notas!$B$3)</f>
        <v/>
      </c>
      <c r="H807" s="13" t="n">
        <v>1</v>
      </c>
      <c r="I807" s="17" t="n">
        <f aca="false">IF(H807=1,D807,G807)</f>
        <v>5871</v>
      </c>
    </row>
    <row r="808" customFormat="false" ht="15" hidden="false" customHeight="false" outlineLevel="0" collapsed="false">
      <c r="A808" s="13" t="s">
        <v>238</v>
      </c>
      <c r="B808" s="13" t="s">
        <v>17</v>
      </c>
      <c r="C808" s="13" t="s">
        <v>23</v>
      </c>
      <c r="D808" s="15" t="n">
        <v>3.05969</v>
      </c>
      <c r="E808" s="13" t="n">
        <v>0.69821</v>
      </c>
      <c r="F808" s="16" t="str">
        <f aca="false">IF(H808=1,"",D808/E808)</f>
        <v/>
      </c>
      <c r="G808" s="17" t="str">
        <f aca="false">IF(H808=1,"",D808/E808*Notas!$B$3)</f>
        <v/>
      </c>
      <c r="H808" s="13" t="n">
        <v>1</v>
      </c>
      <c r="I808" s="17" t="n">
        <f aca="false">IF(H808=1,D808,G808)</f>
        <v>3.05969</v>
      </c>
    </row>
    <row r="809" customFormat="false" ht="15" hidden="false" customHeight="false" outlineLevel="0" collapsed="false">
      <c r="A809" s="13" t="s">
        <v>238</v>
      </c>
      <c r="B809" s="13" t="s">
        <v>17</v>
      </c>
      <c r="C809" s="13" t="s">
        <v>24</v>
      </c>
      <c r="D809" s="15" t="n">
        <v>0.25498</v>
      </c>
      <c r="E809" s="13" t="n">
        <v>0.69821</v>
      </c>
      <c r="F809" s="16" t="str">
        <f aca="false">IF(H809=1,"",D809/E809)</f>
        <v/>
      </c>
      <c r="G809" s="17" t="str">
        <f aca="false">IF(H809=1,"",D809/E809*Notas!$B$3)</f>
        <v/>
      </c>
      <c r="H809" s="13" t="n">
        <v>1</v>
      </c>
      <c r="I809" s="17" t="n">
        <f aca="false">IF(H809=1,D809,G809)</f>
        <v>0.25498</v>
      </c>
    </row>
    <row r="810" customFormat="false" ht="15" hidden="false" customHeight="false" outlineLevel="0" collapsed="false">
      <c r="A810" s="13" t="s">
        <v>238</v>
      </c>
      <c r="B810" s="13" t="s">
        <v>25</v>
      </c>
      <c r="C810" s="13" t="s">
        <v>26</v>
      </c>
      <c r="D810" s="15" t="n">
        <v>91.39934</v>
      </c>
      <c r="E810" s="13" t="n">
        <v>0.69821</v>
      </c>
      <c r="F810" s="16" t="str">
        <f aca="false">IF(H810=1,"",D810/E810)</f>
        <v/>
      </c>
      <c r="G810" s="17" t="str">
        <f aca="false">IF(H810=1,"",D810/E810*Notas!$B$3)</f>
        <v/>
      </c>
      <c r="H810" s="13" t="n">
        <v>1</v>
      </c>
      <c r="I810" s="17" t="n">
        <f aca="false">IF(H810=1,D810,G810)</f>
        <v>91.39934</v>
      </c>
    </row>
    <row r="811" customFormat="false" ht="15" hidden="false" customHeight="false" outlineLevel="0" collapsed="false">
      <c r="A811" s="13" t="s">
        <v>238</v>
      </c>
      <c r="B811" s="13" t="s">
        <v>25</v>
      </c>
      <c r="C811" s="13" t="s">
        <v>27</v>
      </c>
      <c r="D811" s="15" t="n">
        <v>0</v>
      </c>
      <c r="E811" s="13" t="n">
        <v>0.69821</v>
      </c>
      <c r="F811" s="16" t="str">
        <f aca="false">IF(H811=1,"",D811/E811)</f>
        <v/>
      </c>
      <c r="G811" s="17" t="str">
        <f aca="false">IF(H811=1,"",D811/E811*Notas!$B$3)</f>
        <v/>
      </c>
      <c r="H811" s="13" t="n">
        <v>1</v>
      </c>
      <c r="I811" s="17" t="n">
        <f aca="false">IF(H811=1,D811,G811)</f>
        <v>0</v>
      </c>
    </row>
    <row r="812" customFormat="false" ht="15" hidden="false" customHeight="false" outlineLevel="0" collapsed="false">
      <c r="A812" s="13" t="s">
        <v>238</v>
      </c>
      <c r="B812" s="13" t="s">
        <v>25</v>
      </c>
      <c r="C812" s="13" t="s">
        <v>28</v>
      </c>
      <c r="D812" s="15" t="n">
        <v>8.60066</v>
      </c>
      <c r="E812" s="13" t="n">
        <v>0.69821</v>
      </c>
      <c r="F812" s="16" t="str">
        <f aca="false">IF(H812=1,"",D812/E812)</f>
        <v/>
      </c>
      <c r="G812" s="17" t="str">
        <f aca="false">IF(H812=1,"",D812/E812*Notas!$B$3)</f>
        <v/>
      </c>
      <c r="H812" s="13" t="n">
        <v>1</v>
      </c>
      <c r="I812" s="17" t="n">
        <f aca="false">IF(H812=1,D812,G812)</f>
        <v>8.60066</v>
      </c>
    </row>
    <row r="813" customFormat="false" ht="15" hidden="false" customHeight="false" outlineLevel="0" collapsed="false">
      <c r="A813" s="13" t="s">
        <v>238</v>
      </c>
      <c r="B813" s="13" t="s">
        <v>25</v>
      </c>
      <c r="C813" s="13" t="s">
        <v>29</v>
      </c>
      <c r="D813" s="15" t="n">
        <v>0</v>
      </c>
      <c r="E813" s="13" t="n">
        <v>0.69821</v>
      </c>
      <c r="F813" s="16" t="str">
        <f aca="false">IF(H813=1,"",D813/E813)</f>
        <v/>
      </c>
      <c r="G813" s="17" t="str">
        <f aca="false">IF(H813=1,"",D813/E813*Notas!$B$3)</f>
        <v/>
      </c>
      <c r="H813" s="13" t="n">
        <v>1</v>
      </c>
      <c r="I813" s="17" t="n">
        <f aca="false">IF(H813=1,D813,G813)</f>
        <v>0</v>
      </c>
    </row>
    <row r="814" customFormat="false" ht="15" hidden="false" customHeight="false" outlineLevel="0" collapsed="false">
      <c r="A814" s="13" t="s">
        <v>238</v>
      </c>
      <c r="B814" s="13" t="s">
        <v>30</v>
      </c>
      <c r="C814" s="13" t="s">
        <v>31</v>
      </c>
      <c r="D814" s="15" t="n">
        <v>0</v>
      </c>
      <c r="E814" s="13" t="n">
        <v>0.69821</v>
      </c>
      <c r="F814" s="16" t="n">
        <f aca="false">IF(H814=1,"",D814/E814)</f>
        <v>0</v>
      </c>
      <c r="G814" s="17" t="n">
        <f aca="false">IF(H814=1,"",D814/E814*Notas!$B$3)</f>
        <v>0</v>
      </c>
      <c r="H814" s="13" t="n">
        <v>0</v>
      </c>
      <c r="I814" s="17" t="n">
        <f aca="false">IF(H814=1,D814,G814)</f>
        <v>0</v>
      </c>
    </row>
    <row r="815" customFormat="false" ht="15" hidden="false" customHeight="false" outlineLevel="0" collapsed="false">
      <c r="A815" s="13" t="s">
        <v>238</v>
      </c>
      <c r="B815" s="13" t="s">
        <v>30</v>
      </c>
      <c r="C815" s="13" t="s">
        <v>32</v>
      </c>
      <c r="D815" s="15" t="n">
        <v>0.69821</v>
      </c>
      <c r="E815" s="13" t="n">
        <v>0.69821</v>
      </c>
      <c r="F815" s="16" t="n">
        <f aca="false">IF(H815=1,"",D815/E815)</f>
        <v>1</v>
      </c>
      <c r="G815" s="17" t="n">
        <f aca="false">IF(H815=1,"",D815/E815*Notas!$B$3)</f>
        <v>95</v>
      </c>
      <c r="H815" s="13" t="n">
        <v>0</v>
      </c>
      <c r="I815" s="17" t="n">
        <f aca="false">IF(H815=1,D815,G815)</f>
        <v>95</v>
      </c>
    </row>
    <row r="816" customFormat="false" ht="15" hidden="false" customHeight="false" outlineLevel="0" collapsed="false">
      <c r="A816" s="13" t="s">
        <v>238</v>
      </c>
      <c r="B816" s="13" t="s">
        <v>30</v>
      </c>
      <c r="C816" s="13" t="s">
        <v>33</v>
      </c>
      <c r="D816" s="15" t="n">
        <v>0.93827</v>
      </c>
      <c r="E816" s="13" t="n">
        <v>0.69821</v>
      </c>
      <c r="F816" s="16" t="n">
        <f aca="false">IF(H816=1,"",D816/E816)</f>
        <v>1.34382205926584</v>
      </c>
      <c r="G816" s="17" t="n">
        <f aca="false">IF(H816=1,"",D816/E816*Notas!$B$3)</f>
        <v>127.663095630255</v>
      </c>
      <c r="H816" s="13" t="n">
        <v>0</v>
      </c>
      <c r="I816" s="17" t="n">
        <f aca="false">IF(H816=1,D816,G816)</f>
        <v>127.663095630255</v>
      </c>
    </row>
    <row r="817" customFormat="false" ht="15" hidden="false" customHeight="false" outlineLevel="0" collapsed="false">
      <c r="A817" s="13" t="s">
        <v>238</v>
      </c>
      <c r="B817" s="13" t="s">
        <v>30</v>
      </c>
      <c r="C817" s="13" t="s">
        <v>34</v>
      </c>
      <c r="D817" s="15" t="n">
        <v>0.99938</v>
      </c>
      <c r="E817" s="13" t="n">
        <v>0.69821</v>
      </c>
      <c r="F817" s="16" t="n">
        <f aca="false">IF(H817=1,"",D817/E817)</f>
        <v>1.43134587015368</v>
      </c>
      <c r="G817" s="17" t="n">
        <f aca="false">IF(H817=1,"",D817/E817*Notas!$B$3)</f>
        <v>135.977857664599</v>
      </c>
      <c r="H817" s="13" t="n">
        <v>0</v>
      </c>
      <c r="I817" s="17" t="n">
        <f aca="false">IF(H817=1,D817,G817)</f>
        <v>135.977857664599</v>
      </c>
    </row>
    <row r="818" customFormat="false" ht="15" hidden="false" customHeight="false" outlineLevel="0" collapsed="false">
      <c r="A818" s="13" t="s">
        <v>238</v>
      </c>
      <c r="B818" s="13" t="s">
        <v>35</v>
      </c>
      <c r="C818" s="13" t="s">
        <v>36</v>
      </c>
      <c r="D818" s="15" t="n">
        <v>1</v>
      </c>
      <c r="E818" s="13" t="n">
        <v>0.69821</v>
      </c>
      <c r="F818" s="16" t="str">
        <f aca="false">IF(H818=1,"",D818/E818)</f>
        <v/>
      </c>
      <c r="G818" s="17" t="str">
        <f aca="false">IF(H818=1,"",D818/E818*Notas!$B$3)</f>
        <v/>
      </c>
      <c r="H818" s="13" t="n">
        <v>1</v>
      </c>
      <c r="I818" s="17" t="n">
        <f aca="false">IF(H818=1,D818,G818)</f>
        <v>1</v>
      </c>
    </row>
    <row r="819" customFormat="false" ht="15" hidden="false" customHeight="false" outlineLevel="0" collapsed="false">
      <c r="A819" s="13" t="s">
        <v>238</v>
      </c>
      <c r="B819" s="13" t="s">
        <v>35</v>
      </c>
      <c r="C819" s="13" t="s">
        <v>37</v>
      </c>
      <c r="D819" s="15" t="n">
        <v>100</v>
      </c>
      <c r="E819" s="13" t="n">
        <v>0.69821</v>
      </c>
      <c r="F819" s="16" t="str">
        <f aca="false">IF(H819=1,"",D819/E819)</f>
        <v/>
      </c>
      <c r="G819" s="17" t="str">
        <f aca="false">IF(H819=1,"",D819/E819*Notas!$B$3)</f>
        <v/>
      </c>
      <c r="H819" s="13" t="n">
        <v>1</v>
      </c>
      <c r="I819" s="17" t="n">
        <f aca="false">IF(H819=1,D819,G819)</f>
        <v>100</v>
      </c>
    </row>
    <row r="820" customFormat="false" ht="15" hidden="false" customHeight="false" outlineLevel="0" collapsed="false">
      <c r="A820" s="13" t="s">
        <v>238</v>
      </c>
      <c r="B820" s="13" t="s">
        <v>38</v>
      </c>
      <c r="C820" s="13" t="s">
        <v>39</v>
      </c>
      <c r="D820" s="15" t="n">
        <v>0.32369</v>
      </c>
      <c r="E820" s="13" t="n">
        <v>0.69821</v>
      </c>
      <c r="F820" s="16" t="n">
        <f aca="false">IF(H820=1,"",D820/E820)</f>
        <v>0.463599776571519</v>
      </c>
      <c r="G820" s="17" t="n">
        <f aca="false">IF(H820=1,"",D820/E820*Notas!$B$3)</f>
        <v>44.0419787742943</v>
      </c>
      <c r="H820" s="13" t="n">
        <v>0</v>
      </c>
      <c r="I820" s="17" t="n">
        <f aca="false">IF(H820=1,D820,G820)</f>
        <v>44.0419787742943</v>
      </c>
    </row>
    <row r="821" customFormat="false" ht="15" hidden="false" customHeight="false" outlineLevel="0" collapsed="false">
      <c r="A821" s="13" t="s">
        <v>238</v>
      </c>
      <c r="B821" s="13" t="s">
        <v>38</v>
      </c>
      <c r="C821" s="13" t="s">
        <v>40</v>
      </c>
      <c r="D821" s="15" t="n">
        <v>0.29896</v>
      </c>
      <c r="E821" s="13" t="n">
        <v>0.69821</v>
      </c>
      <c r="F821" s="16" t="n">
        <f aca="false">IF(H821=1,"",D821/E821)</f>
        <v>0.428180633333811</v>
      </c>
      <c r="G821" s="17" t="n">
        <f aca="false">IF(H821=1,"",D821/E821*Notas!$B$3)</f>
        <v>40.677160166712</v>
      </c>
      <c r="H821" s="13" t="n">
        <v>0</v>
      </c>
      <c r="I821" s="17" t="n">
        <f aca="false">IF(H821=1,D821,G821)</f>
        <v>40.677160166712</v>
      </c>
    </row>
    <row r="822" customFormat="false" ht="15" hidden="false" customHeight="false" outlineLevel="0" collapsed="false">
      <c r="A822" s="13" t="s">
        <v>238</v>
      </c>
      <c r="B822" s="13" t="s">
        <v>38</v>
      </c>
      <c r="C822" s="13" t="s">
        <v>41</v>
      </c>
      <c r="D822" s="15" t="n">
        <v>0.20387</v>
      </c>
      <c r="E822" s="13" t="n">
        <v>0.69821</v>
      </c>
      <c r="F822" s="16" t="n">
        <f aca="false">IF(H822=1,"",D822/E822)</f>
        <v>0.29198951604818</v>
      </c>
      <c r="G822" s="17" t="n">
        <f aca="false">IF(H822=1,"",D822/E822*Notas!$B$3)</f>
        <v>27.7390040245771</v>
      </c>
      <c r="H822" s="13" t="n">
        <v>0</v>
      </c>
      <c r="I822" s="17" t="n">
        <f aca="false">IF(H822=1,D822,G822)</f>
        <v>27.7390040245771</v>
      </c>
    </row>
    <row r="823" customFormat="false" ht="15" hidden="false" customHeight="false" outlineLevel="0" collapsed="false">
      <c r="A823" s="13" t="s">
        <v>238</v>
      </c>
      <c r="B823" s="13" t="s">
        <v>38</v>
      </c>
      <c r="C823" s="13" t="s">
        <v>42</v>
      </c>
      <c r="D823" s="15" t="n">
        <v>-0.2282</v>
      </c>
      <c r="E823" s="13" t="n">
        <v>0.69821</v>
      </c>
      <c r="F823" s="16" t="n">
        <f aca="false">IF(H823=1,"",D823/E823)</f>
        <v>-0.326835765743831</v>
      </c>
      <c r="G823" s="17" t="n">
        <f aca="false">IF(H823=1,"",D823/E823*Notas!$B$3)</f>
        <v>-31.0493977456639</v>
      </c>
      <c r="H823" s="13" t="n">
        <v>0</v>
      </c>
      <c r="I823" s="17" t="n">
        <f aca="false">IF(H823=1,D823,G823)</f>
        <v>-31.0493977456639</v>
      </c>
    </row>
    <row r="824" customFormat="false" ht="15" hidden="false" customHeight="false" outlineLevel="0" collapsed="false">
      <c r="A824" s="13" t="s">
        <v>238</v>
      </c>
      <c r="B824" s="13" t="s">
        <v>38</v>
      </c>
      <c r="C824" s="13" t="s">
        <v>43</v>
      </c>
      <c r="D824" s="15" t="n">
        <v>0.32606</v>
      </c>
      <c r="E824" s="13" t="n">
        <v>0.69821</v>
      </c>
      <c r="F824" s="16" t="n">
        <f aca="false">IF(H824=1,"",D824/E824)</f>
        <v>0.46699417080821</v>
      </c>
      <c r="G824" s="17" t="n">
        <f aca="false">IF(H824=1,"",D824/E824*Notas!$B$3)</f>
        <v>44.3644462267799</v>
      </c>
      <c r="H824" s="13" t="n">
        <v>0</v>
      </c>
      <c r="I824" s="17" t="n">
        <f aca="false">IF(H824=1,D824,G824)</f>
        <v>44.3644462267799</v>
      </c>
    </row>
    <row r="825" customFormat="false" ht="15" hidden="false" customHeight="false" outlineLevel="0" collapsed="false">
      <c r="A825" s="13" t="s">
        <v>238</v>
      </c>
      <c r="B825" s="13" t="s">
        <v>38</v>
      </c>
      <c r="C825" s="13" t="s">
        <v>44</v>
      </c>
      <c r="D825" s="15" t="n">
        <v>0.28973</v>
      </c>
      <c r="E825" s="13" t="n">
        <v>0.69821</v>
      </c>
      <c r="F825" s="16" t="n">
        <f aca="false">IF(H825=1,"",D825/E825)</f>
        <v>0.414961114850833</v>
      </c>
      <c r="G825" s="17" t="n">
        <f aca="false">IF(H825=1,"",D825/E825*Notas!$B$3)</f>
        <v>39.4213059108291</v>
      </c>
      <c r="H825" s="13" t="n">
        <v>0</v>
      </c>
      <c r="I825" s="17" t="n">
        <f aca="false">IF(H825=1,D825,G825)</f>
        <v>39.4213059108291</v>
      </c>
    </row>
    <row r="826" customFormat="false" ht="15" hidden="false" customHeight="false" outlineLevel="0" collapsed="false">
      <c r="A826" s="13" t="s">
        <v>238</v>
      </c>
      <c r="B826" s="13" t="s">
        <v>38</v>
      </c>
      <c r="C826" s="13" t="s">
        <v>45</v>
      </c>
      <c r="D826" s="15" t="n">
        <v>0.21094</v>
      </c>
      <c r="E826" s="13" t="n">
        <v>0.69821</v>
      </c>
      <c r="F826" s="16" t="n">
        <f aca="false">IF(H826=1,"",D826/E826)</f>
        <v>0.302115409404047</v>
      </c>
      <c r="G826" s="17" t="n">
        <f aca="false">IF(H826=1,"",D826/E826*Notas!$B$3)</f>
        <v>28.7009638933845</v>
      </c>
      <c r="H826" s="13" t="n">
        <v>0</v>
      </c>
      <c r="I826" s="17" t="n">
        <f aca="false">IF(H826=1,D826,G826)</f>
        <v>28.7009638933845</v>
      </c>
    </row>
    <row r="827" customFormat="false" ht="15" hidden="false" customHeight="false" outlineLevel="0" collapsed="false">
      <c r="A827" s="13" t="s">
        <v>238</v>
      </c>
      <c r="B827" s="13" t="s">
        <v>38</v>
      </c>
      <c r="C827" s="13" t="s">
        <v>46</v>
      </c>
      <c r="D827" s="15" t="n">
        <v>0.23399</v>
      </c>
      <c r="E827" s="13" t="n">
        <v>0.69821</v>
      </c>
      <c r="F827" s="16" t="n">
        <f aca="false">IF(H827=1,"",D827/E827)</f>
        <v>0.335128399765114</v>
      </c>
      <c r="G827" s="17" t="n">
        <f aca="false">IF(H827=1,"",D827/E827*Notas!$B$3)</f>
        <v>31.8371979776858</v>
      </c>
      <c r="H827" s="13" t="n">
        <v>0</v>
      </c>
      <c r="I827" s="17" t="n">
        <f aca="false">IF(H827=1,D827,G827)</f>
        <v>31.8371979776858</v>
      </c>
    </row>
    <row r="828" customFormat="false" ht="15" hidden="false" customHeight="false" outlineLevel="0" collapsed="false">
      <c r="A828" s="13" t="s">
        <v>238</v>
      </c>
      <c r="B828" s="13" t="s">
        <v>38</v>
      </c>
      <c r="C828" s="13" t="s">
        <v>47</v>
      </c>
      <c r="D828" s="15" t="n">
        <v>0.21094</v>
      </c>
      <c r="E828" s="13" t="n">
        <v>0.69821</v>
      </c>
      <c r="F828" s="16" t="n">
        <f aca="false">IF(H828=1,"",D828/E828)</f>
        <v>0.302115409404047</v>
      </c>
      <c r="G828" s="17" t="n">
        <f aca="false">IF(H828=1,"",D828/E828*Notas!$B$3)</f>
        <v>28.7009638933845</v>
      </c>
      <c r="H828" s="13" t="n">
        <v>0</v>
      </c>
      <c r="I828" s="17" t="n">
        <f aca="false">IF(H828=1,D828,G828)</f>
        <v>28.7009638933845</v>
      </c>
    </row>
    <row r="829" customFormat="false" ht="15" hidden="false" customHeight="false" outlineLevel="0" collapsed="false">
      <c r="A829" s="13" t="s">
        <v>238</v>
      </c>
      <c r="B829" s="13" t="s">
        <v>38</v>
      </c>
      <c r="C829" s="13" t="s">
        <v>48</v>
      </c>
      <c r="D829" s="15" t="n">
        <v>0.75654</v>
      </c>
      <c r="E829" s="13" t="n">
        <v>0.69821</v>
      </c>
      <c r="F829" s="16" t="n">
        <f aca="false">IF(H829=1,"",D829/E829)</f>
        <v>1.08354220077054</v>
      </c>
      <c r="G829" s="17" t="n">
        <f aca="false">IF(H829=1,"",D829/E829*Notas!$B$3)</f>
        <v>102.936509073201</v>
      </c>
      <c r="H829" s="13" t="n">
        <v>0</v>
      </c>
      <c r="I829" s="17" t="n">
        <f aca="false">IF(H829=1,D829,G829)</f>
        <v>102.936509073201</v>
      </c>
    </row>
    <row r="830" customFormat="false" ht="15" hidden="false" customHeight="false" outlineLevel="0" collapsed="false">
      <c r="A830" s="13" t="s">
        <v>238</v>
      </c>
      <c r="B830" s="13" t="s">
        <v>30</v>
      </c>
      <c r="C830" s="13" t="s">
        <v>49</v>
      </c>
      <c r="D830" s="15" t="n">
        <v>0.64935</v>
      </c>
      <c r="E830" s="13" t="n">
        <v>0.69821</v>
      </c>
      <c r="F830" s="16" t="n">
        <f aca="false">IF(H830=1,"",D830/E830)</f>
        <v>0.930021053837671</v>
      </c>
      <c r="G830" s="17" t="n">
        <f aca="false">IF(H830=1,"",D830/E830*Notas!$B$3)</f>
        <v>88.3520001145787</v>
      </c>
      <c r="H830" s="13" t="n">
        <v>0</v>
      </c>
      <c r="I830" s="17" t="n">
        <f aca="false">IF(H830=1,D830,G830)</f>
        <v>88.3520001145787</v>
      </c>
    </row>
    <row r="831" customFormat="false" ht="15" hidden="false" customHeight="false" outlineLevel="0" collapsed="false">
      <c r="A831" s="13" t="s">
        <v>238</v>
      </c>
      <c r="B831" s="13" t="s">
        <v>30</v>
      </c>
      <c r="C831" s="13" t="s">
        <v>50</v>
      </c>
      <c r="D831" s="15" t="n">
        <v>0.68715</v>
      </c>
      <c r="E831" s="13" t="n">
        <v>0.69821</v>
      </c>
      <c r="F831" s="16" t="n">
        <f aca="false">IF(H831=1,"",D831/E831)</f>
        <v>0.984159493562109</v>
      </c>
      <c r="G831" s="17" t="n">
        <f aca="false">IF(H831=1,"",D831/E831*Notas!$B$3)</f>
        <v>93.4951518884003</v>
      </c>
      <c r="H831" s="13" t="n">
        <v>0</v>
      </c>
      <c r="I831" s="17" t="n">
        <f aca="false">IF(H831=1,D831,G831)</f>
        <v>93.4951518884003</v>
      </c>
    </row>
    <row r="832" customFormat="false" ht="15" hidden="false" customHeight="false" outlineLevel="0" collapsed="false">
      <c r="A832" s="13" t="s">
        <v>238</v>
      </c>
      <c r="B832" s="13" t="s">
        <v>30</v>
      </c>
      <c r="C832" s="13" t="s">
        <v>51</v>
      </c>
      <c r="D832" s="15" t="n">
        <v>2.09206</v>
      </c>
      <c r="E832" s="13" t="n">
        <v>0.69821</v>
      </c>
      <c r="F832" s="16" t="n">
        <f aca="false">IF(H832=1,"",D832/E832)</f>
        <v>2.99631915899228</v>
      </c>
      <c r="G832" s="17" t="n">
        <f aca="false">IF(H832=1,"",D832/E832*Notas!$B$3)</f>
        <v>284.650320104267</v>
      </c>
      <c r="H832" s="13" t="n">
        <v>0</v>
      </c>
      <c r="I832" s="17" t="n">
        <f aca="false">IF(H832=1,D832,G832)</f>
        <v>284.650320104267</v>
      </c>
    </row>
    <row r="833" customFormat="false" ht="15" hidden="false" customHeight="false" outlineLevel="0" collapsed="false">
      <c r="A833" s="13" t="s">
        <v>238</v>
      </c>
      <c r="B833" s="13" t="s">
        <v>30</v>
      </c>
      <c r="C833" s="13" t="s">
        <v>52</v>
      </c>
      <c r="D833" s="15" t="n">
        <v>0.92003</v>
      </c>
      <c r="E833" s="13" t="n">
        <v>0.69821</v>
      </c>
      <c r="F833" s="16" t="n">
        <f aca="false">IF(H833=1,"",D833/E833)</f>
        <v>1.31769811374801</v>
      </c>
      <c r="G833" s="17" t="n">
        <f aca="false">IF(H833=1,"",D833/E833*Notas!$B$3)</f>
        <v>125.181320806061</v>
      </c>
      <c r="H833" s="13" t="n">
        <v>0</v>
      </c>
      <c r="I833" s="17" t="n">
        <f aca="false">IF(H833=1,D833,G833)</f>
        <v>125.181320806061</v>
      </c>
    </row>
    <row r="834" customFormat="false" ht="15" hidden="false" customHeight="false" outlineLevel="0" collapsed="false">
      <c r="A834" s="13" t="s">
        <v>238</v>
      </c>
      <c r="B834" s="13" t="s">
        <v>30</v>
      </c>
      <c r="C834" s="13" t="s">
        <v>53</v>
      </c>
      <c r="D834" s="15" t="n">
        <v>0.92852</v>
      </c>
      <c r="E834" s="13" t="n">
        <v>0.69821</v>
      </c>
      <c r="F834" s="16" t="n">
        <f aca="false">IF(H834=1,"",D834/E834)</f>
        <v>1.32985777917818</v>
      </c>
      <c r="G834" s="17" t="n">
        <f aca="false">IF(H834=1,"",D834/E834*Notas!$B$3)</f>
        <v>126.336489021928</v>
      </c>
      <c r="H834" s="13" t="n">
        <v>0</v>
      </c>
      <c r="I834" s="17" t="n">
        <f aca="false">IF(H834=1,D834,G834)</f>
        <v>126.336489021928</v>
      </c>
    </row>
    <row r="835" customFormat="false" ht="15" hidden="false" customHeight="false" outlineLevel="0" collapsed="false">
      <c r="A835" s="13" t="s">
        <v>238</v>
      </c>
      <c r="B835" s="13" t="s">
        <v>30</v>
      </c>
      <c r="C835" s="13" t="s">
        <v>54</v>
      </c>
      <c r="D835" s="15" t="n">
        <v>5.33715</v>
      </c>
      <c r="E835" s="13" t="n">
        <v>0.69821</v>
      </c>
      <c r="F835" s="16" t="n">
        <f aca="false">IF(H835=1,"",D835/E835)</f>
        <v>7.6440469199811</v>
      </c>
      <c r="G835" s="17" t="n">
        <f aca="false">IF(H835=1,"",D835/E835*Notas!$B$3)</f>
        <v>726.184457398204</v>
      </c>
      <c r="H835" s="13" t="n">
        <v>0</v>
      </c>
      <c r="I835" s="17" t="n">
        <f aca="false">IF(H835=1,D835,G835)</f>
        <v>726.184457398204</v>
      </c>
    </row>
    <row r="836" customFormat="false" ht="15" hidden="false" customHeight="false" outlineLevel="0" collapsed="false">
      <c r="A836" s="13" t="s">
        <v>238</v>
      </c>
      <c r="B836" s="13" t="s">
        <v>30</v>
      </c>
      <c r="C836" s="13" t="s">
        <v>55</v>
      </c>
      <c r="D836" s="15" t="n">
        <v>0.86828</v>
      </c>
      <c r="E836" s="13" t="n">
        <v>0.69821</v>
      </c>
      <c r="F836" s="16" t="n">
        <f aca="false">IF(H836=1,"",D836/E836)</f>
        <v>1.24358001174432</v>
      </c>
      <c r="G836" s="17" t="n">
        <f aca="false">IF(H836=1,"",D836/E836*Notas!$B$3)</f>
        <v>118.14010111571</v>
      </c>
      <c r="H836" s="13" t="n">
        <v>0</v>
      </c>
      <c r="I836" s="17" t="n">
        <f aca="false">IF(H836=1,D836,G836)</f>
        <v>118.14010111571</v>
      </c>
    </row>
    <row r="837" customFormat="false" ht="15" hidden="false" customHeight="false" outlineLevel="0" collapsed="false">
      <c r="A837" s="13" t="s">
        <v>238</v>
      </c>
      <c r="B837" s="13" t="s">
        <v>30</v>
      </c>
      <c r="C837" s="13" t="s">
        <v>56</v>
      </c>
      <c r="D837" s="15" t="n">
        <v>0.88328</v>
      </c>
      <c r="E837" s="13" t="n">
        <v>0.69821</v>
      </c>
      <c r="F837" s="16" t="n">
        <f aca="false">IF(H837=1,"",D837/E837)</f>
        <v>1.26506351957148</v>
      </c>
      <c r="G837" s="17" t="n">
        <f aca="false">IF(H837=1,"",D837/E837*Notas!$B$3)</f>
        <v>120.18103435929</v>
      </c>
      <c r="H837" s="13" t="n">
        <v>0</v>
      </c>
      <c r="I837" s="17" t="n">
        <f aca="false">IF(H837=1,D837,G837)</f>
        <v>120.18103435929</v>
      </c>
    </row>
    <row r="838" customFormat="false" ht="15" hidden="false" customHeight="false" outlineLevel="0" collapsed="false">
      <c r="A838" s="13" t="s">
        <v>238</v>
      </c>
      <c r="B838" s="13" t="s">
        <v>30</v>
      </c>
      <c r="C838" s="13" t="s">
        <v>57</v>
      </c>
      <c r="D838" s="15" t="n">
        <v>5.09103</v>
      </c>
      <c r="E838" s="13" t="n">
        <v>0.69821</v>
      </c>
      <c r="F838" s="16" t="n">
        <f aca="false">IF(H838=1,"",D838/E838)</f>
        <v>7.29154552355309</v>
      </c>
      <c r="G838" s="17" t="n">
        <f aca="false">IF(H838=1,"",D838/E838*Notas!$B$3)</f>
        <v>692.696824737543</v>
      </c>
      <c r="H838" s="13" t="n">
        <v>0</v>
      </c>
      <c r="I838" s="17" t="n">
        <f aca="false">IF(H838=1,D838,G838)</f>
        <v>692.696824737543</v>
      </c>
    </row>
    <row r="839" customFormat="false" ht="15" hidden="false" customHeight="false" outlineLevel="0" collapsed="false">
      <c r="A839" s="13" t="s">
        <v>238</v>
      </c>
      <c r="B839" s="13" t="s">
        <v>58</v>
      </c>
      <c r="C839" s="13" t="s">
        <v>59</v>
      </c>
      <c r="D839" s="15" t="n">
        <v>0.36596</v>
      </c>
      <c r="E839" s="13" t="n">
        <v>0.69821</v>
      </c>
      <c r="F839" s="16" t="n">
        <f aca="false">IF(H839=1,"",D839/E839)</f>
        <v>0.52414030162845</v>
      </c>
      <c r="G839" s="17" t="n">
        <f aca="false">IF(H839=1,"",D839/E839*Notas!$B$3)</f>
        <v>49.7933286547027</v>
      </c>
      <c r="H839" s="13" t="n">
        <v>0</v>
      </c>
      <c r="I839" s="17" t="n">
        <f aca="false">IF(H839=1,D839,G839)</f>
        <v>49.7933286547027</v>
      </c>
    </row>
    <row r="840" customFormat="false" ht="15" hidden="false" customHeight="false" outlineLevel="0" collapsed="false">
      <c r="A840" s="13" t="s">
        <v>238</v>
      </c>
      <c r="B840" s="13" t="s">
        <v>58</v>
      </c>
      <c r="C840" s="13" t="s">
        <v>60</v>
      </c>
      <c r="D840" s="15" t="n">
        <v>0.46562</v>
      </c>
      <c r="E840" s="13" t="n">
        <v>0.69821</v>
      </c>
      <c r="F840" s="16" t="n">
        <f aca="false">IF(H840=1,"",D840/E840)</f>
        <v>0.666876727632088</v>
      </c>
      <c r="G840" s="17" t="n">
        <f aca="false">IF(H840=1,"",D840/E840*Notas!$B$3)</f>
        <v>63.3532891250483</v>
      </c>
      <c r="H840" s="13" t="n">
        <v>0</v>
      </c>
      <c r="I840" s="17" t="n">
        <f aca="false">IF(H840=1,D840,G840)</f>
        <v>63.3532891250483</v>
      </c>
    </row>
    <row r="841" customFormat="false" ht="15" hidden="false" customHeight="false" outlineLevel="0" collapsed="false">
      <c r="A841" s="13" t="s">
        <v>238</v>
      </c>
      <c r="B841" s="13" t="s">
        <v>58</v>
      </c>
      <c r="C841" s="13" t="s">
        <v>61</v>
      </c>
      <c r="D841" s="15" t="n">
        <v>0.34856</v>
      </c>
      <c r="E841" s="13" t="n">
        <v>0.69821</v>
      </c>
      <c r="F841" s="16" t="n">
        <f aca="false">IF(H841=1,"",D841/E841)</f>
        <v>0.499219432548947</v>
      </c>
      <c r="G841" s="17" t="n">
        <f aca="false">IF(H841=1,"",D841/E841*Notas!$B$3)</f>
        <v>47.4258460921499</v>
      </c>
      <c r="H841" s="13" t="n">
        <v>0</v>
      </c>
      <c r="I841" s="17" t="n">
        <f aca="false">IF(H841=1,D841,G841)</f>
        <v>47.4258460921499</v>
      </c>
    </row>
    <row r="842" customFormat="false" ht="15" hidden="false" customHeight="false" outlineLevel="0" collapsed="false">
      <c r="A842" s="13" t="s">
        <v>238</v>
      </c>
      <c r="B842" s="13" t="s">
        <v>58</v>
      </c>
      <c r="C842" s="13" t="s">
        <v>62</v>
      </c>
      <c r="D842" s="15" t="n">
        <v>0.46913</v>
      </c>
      <c r="E842" s="13" t="n">
        <v>0.69821</v>
      </c>
      <c r="F842" s="16" t="n">
        <f aca="false">IF(H842=1,"",D842/E842)</f>
        <v>0.671903868463643</v>
      </c>
      <c r="G842" s="17" t="n">
        <f aca="false">IF(H842=1,"",D842/E842*Notas!$B$3)</f>
        <v>63.8308675040461</v>
      </c>
      <c r="H842" s="13" t="n">
        <v>0</v>
      </c>
      <c r="I842" s="17" t="n">
        <f aca="false">IF(H842=1,D842,G842)</f>
        <v>63.8308675040461</v>
      </c>
    </row>
    <row r="843" customFormat="false" ht="15" hidden="false" customHeight="false" outlineLevel="0" collapsed="false">
      <c r="A843" s="13" t="s">
        <v>242</v>
      </c>
      <c r="B843" s="13" t="s">
        <v>17</v>
      </c>
      <c r="C843" s="13" t="s">
        <v>18</v>
      </c>
      <c r="D843" s="15" t="n">
        <v>0.99929</v>
      </c>
      <c r="E843" s="13" t="n">
        <v>0.99929</v>
      </c>
      <c r="F843" s="16" t="n">
        <f aca="false">IF(H843=1,"",D843/E843)</f>
        <v>1</v>
      </c>
      <c r="G843" s="17" t="n">
        <f aca="false">IF(H843=1,"",D843/E843*Notas!$B$3)</f>
        <v>95</v>
      </c>
      <c r="H843" s="13" t="n">
        <v>0</v>
      </c>
      <c r="I843" s="17" t="n">
        <f aca="false">IF(H843=1,D843,G843)</f>
        <v>95</v>
      </c>
    </row>
    <row r="844" customFormat="false" ht="15" hidden="false" customHeight="false" outlineLevel="0" collapsed="false">
      <c r="A844" s="13" t="s">
        <v>242</v>
      </c>
      <c r="B844" s="13" t="s">
        <v>17</v>
      </c>
      <c r="C844" s="13" t="s">
        <v>19</v>
      </c>
      <c r="D844" s="15" t="n">
        <v>0.61082</v>
      </c>
      <c r="E844" s="13" t="n">
        <v>0.99929</v>
      </c>
      <c r="F844" s="16" t="n">
        <f aca="false">IF(H844=1,"",D844/E844)</f>
        <v>0.611253990333137</v>
      </c>
      <c r="G844" s="17" t="n">
        <f aca="false">IF(H844=1,"",D844/E844*Notas!$B$3)</f>
        <v>58.069129081648</v>
      </c>
      <c r="H844" s="13" t="n">
        <v>0</v>
      </c>
      <c r="I844" s="17" t="n">
        <f aca="false">IF(H844=1,D844,G844)</f>
        <v>58.069129081648</v>
      </c>
    </row>
    <row r="845" customFormat="false" ht="15" hidden="false" customHeight="false" outlineLevel="0" collapsed="false">
      <c r="A845" s="13" t="s">
        <v>242</v>
      </c>
      <c r="B845" s="13" t="s">
        <v>17</v>
      </c>
      <c r="C845" s="13" t="s">
        <v>20</v>
      </c>
      <c r="D845" s="15" t="n">
        <v>0.42395</v>
      </c>
      <c r="E845" s="13" t="n">
        <v>0.99929</v>
      </c>
      <c r="F845" s="16" t="n">
        <f aca="false">IF(H845=1,"",D845/E845)</f>
        <v>0.424251218365039</v>
      </c>
      <c r="G845" s="17" t="n">
        <f aca="false">IF(H845=1,"",D845/E845*Notas!$B$3)</f>
        <v>40.3038657446787</v>
      </c>
      <c r="H845" s="13" t="n">
        <v>0</v>
      </c>
      <c r="I845" s="17" t="n">
        <f aca="false">IF(H845=1,D845,G845)</f>
        <v>40.3038657446787</v>
      </c>
    </row>
    <row r="846" customFormat="false" ht="15" hidden="false" customHeight="false" outlineLevel="0" collapsed="false">
      <c r="A846" s="13" t="s">
        <v>242</v>
      </c>
      <c r="B846" s="13" t="s">
        <v>17</v>
      </c>
      <c r="C846" s="13" t="s">
        <v>21</v>
      </c>
      <c r="D846" s="15" t="n">
        <v>9014</v>
      </c>
      <c r="E846" s="13" t="n">
        <v>0.99929</v>
      </c>
      <c r="F846" s="16" t="str">
        <f aca="false">IF(H846=1,"",D846/E846)</f>
        <v/>
      </c>
      <c r="G846" s="17" t="str">
        <f aca="false">IF(H846=1,"",D846/E846*Notas!$B$3)</f>
        <v/>
      </c>
      <c r="H846" s="13" t="n">
        <v>1</v>
      </c>
      <c r="I846" s="17" t="n">
        <f aca="false">IF(H846=1,D846,G846)</f>
        <v>9014</v>
      </c>
    </row>
    <row r="847" customFormat="false" ht="15" hidden="false" customHeight="false" outlineLevel="0" collapsed="false">
      <c r="A847" s="13" t="s">
        <v>242</v>
      </c>
      <c r="B847" s="13" t="s">
        <v>17</v>
      </c>
      <c r="C847" s="13" t="s">
        <v>22</v>
      </c>
      <c r="D847" s="15" t="n">
        <v>4505</v>
      </c>
      <c r="E847" s="13" t="n">
        <v>0.99929</v>
      </c>
      <c r="F847" s="16" t="str">
        <f aca="false">IF(H847=1,"",D847/E847)</f>
        <v/>
      </c>
      <c r="G847" s="17" t="str">
        <f aca="false">IF(H847=1,"",D847/E847*Notas!$B$3)</f>
        <v/>
      </c>
      <c r="H847" s="13" t="n">
        <v>1</v>
      </c>
      <c r="I847" s="17" t="n">
        <f aca="false">IF(H847=1,D847,G847)</f>
        <v>4505</v>
      </c>
    </row>
    <row r="848" customFormat="false" ht="15" hidden="false" customHeight="false" outlineLevel="0" collapsed="false">
      <c r="A848" s="13" t="s">
        <v>242</v>
      </c>
      <c r="B848" s="13" t="s">
        <v>17</v>
      </c>
      <c r="C848" s="13" t="s">
        <v>23</v>
      </c>
      <c r="D848" s="15" t="n">
        <v>1.69059</v>
      </c>
      <c r="E848" s="13" t="n">
        <v>0.99929</v>
      </c>
      <c r="F848" s="16" t="str">
        <f aca="false">IF(H848=1,"",D848/E848)</f>
        <v/>
      </c>
      <c r="G848" s="17" t="str">
        <f aca="false">IF(H848=1,"",D848/E848*Notas!$B$3)</f>
        <v/>
      </c>
      <c r="H848" s="13" t="n">
        <v>1</v>
      </c>
      <c r="I848" s="17" t="n">
        <f aca="false">IF(H848=1,D848,G848)</f>
        <v>1.69059</v>
      </c>
    </row>
    <row r="849" customFormat="false" ht="15" hidden="false" customHeight="false" outlineLevel="0" collapsed="false">
      <c r="A849" s="13" t="s">
        <v>242</v>
      </c>
      <c r="B849" s="13" t="s">
        <v>17</v>
      </c>
      <c r="C849" s="13" t="s">
        <v>24</v>
      </c>
      <c r="D849" s="15" t="n">
        <v>0.06921</v>
      </c>
      <c r="E849" s="13" t="n">
        <v>0.99929</v>
      </c>
      <c r="F849" s="16" t="str">
        <f aca="false">IF(H849=1,"",D849/E849)</f>
        <v/>
      </c>
      <c r="G849" s="17" t="str">
        <f aca="false">IF(H849=1,"",D849/E849*Notas!$B$3)</f>
        <v/>
      </c>
      <c r="H849" s="13" t="n">
        <v>1</v>
      </c>
      <c r="I849" s="17" t="n">
        <f aca="false">IF(H849=1,D849,G849)</f>
        <v>0.06921</v>
      </c>
    </row>
    <row r="850" customFormat="false" ht="15" hidden="false" customHeight="false" outlineLevel="0" collapsed="false">
      <c r="A850" s="13" t="s">
        <v>242</v>
      </c>
      <c r="B850" s="13" t="s">
        <v>25</v>
      </c>
      <c r="C850" s="13" t="s">
        <v>26</v>
      </c>
      <c r="D850" s="15" t="n">
        <v>59.15974</v>
      </c>
      <c r="E850" s="13" t="n">
        <v>0.99929</v>
      </c>
      <c r="F850" s="16" t="str">
        <f aca="false">IF(H850=1,"",D850/E850)</f>
        <v/>
      </c>
      <c r="G850" s="17" t="str">
        <f aca="false">IF(H850=1,"",D850/E850*Notas!$B$3)</f>
        <v/>
      </c>
      <c r="H850" s="13" t="n">
        <v>1</v>
      </c>
      <c r="I850" s="17" t="n">
        <f aca="false">IF(H850=1,D850,G850)</f>
        <v>59.15974</v>
      </c>
    </row>
    <row r="851" customFormat="false" ht="15" hidden="false" customHeight="false" outlineLevel="0" collapsed="false">
      <c r="A851" s="13" t="s">
        <v>242</v>
      </c>
      <c r="B851" s="13" t="s">
        <v>25</v>
      </c>
      <c r="C851" s="13" t="s">
        <v>27</v>
      </c>
      <c r="D851" s="15" t="n">
        <v>8.06698</v>
      </c>
      <c r="E851" s="13" t="n">
        <v>0.99929</v>
      </c>
      <c r="F851" s="16" t="str">
        <f aca="false">IF(H851=1,"",D851/E851)</f>
        <v/>
      </c>
      <c r="G851" s="17" t="str">
        <f aca="false">IF(H851=1,"",D851/E851*Notas!$B$3)</f>
        <v/>
      </c>
      <c r="H851" s="13" t="n">
        <v>1</v>
      </c>
      <c r="I851" s="17" t="n">
        <f aca="false">IF(H851=1,D851,G851)</f>
        <v>8.06698</v>
      </c>
    </row>
    <row r="852" customFormat="false" ht="15" hidden="false" customHeight="false" outlineLevel="0" collapsed="false">
      <c r="A852" s="13" t="s">
        <v>242</v>
      </c>
      <c r="B852" s="13" t="s">
        <v>25</v>
      </c>
      <c r="C852" s="13" t="s">
        <v>28</v>
      </c>
      <c r="D852" s="15" t="n">
        <v>25.89858</v>
      </c>
      <c r="E852" s="13" t="n">
        <v>0.99929</v>
      </c>
      <c r="F852" s="16" t="str">
        <f aca="false">IF(H852=1,"",D852/E852)</f>
        <v/>
      </c>
      <c r="G852" s="17" t="str">
        <f aca="false">IF(H852=1,"",D852/E852*Notas!$B$3)</f>
        <v/>
      </c>
      <c r="H852" s="13" t="n">
        <v>1</v>
      </c>
      <c r="I852" s="17" t="n">
        <f aca="false">IF(H852=1,D852,G852)</f>
        <v>25.89858</v>
      </c>
    </row>
    <row r="853" customFormat="false" ht="15" hidden="false" customHeight="false" outlineLevel="0" collapsed="false">
      <c r="A853" s="13" t="s">
        <v>242</v>
      </c>
      <c r="B853" s="13" t="s">
        <v>25</v>
      </c>
      <c r="C853" s="13" t="s">
        <v>29</v>
      </c>
      <c r="D853" s="15" t="n">
        <v>6.8747</v>
      </c>
      <c r="E853" s="13" t="n">
        <v>0.99929</v>
      </c>
      <c r="F853" s="16" t="str">
        <f aca="false">IF(H853=1,"",D853/E853)</f>
        <v/>
      </c>
      <c r="G853" s="17" t="str">
        <f aca="false">IF(H853=1,"",D853/E853*Notas!$B$3)</f>
        <v/>
      </c>
      <c r="H853" s="13" t="n">
        <v>1</v>
      </c>
      <c r="I853" s="17" t="n">
        <f aca="false">IF(H853=1,D853,G853)</f>
        <v>6.8747</v>
      </c>
    </row>
    <row r="854" customFormat="false" ht="15" hidden="false" customHeight="false" outlineLevel="0" collapsed="false">
      <c r="A854" s="13" t="s">
        <v>242</v>
      </c>
      <c r="B854" s="13" t="s">
        <v>30</v>
      </c>
      <c r="C854" s="13" t="s">
        <v>31</v>
      </c>
      <c r="D854" s="15" t="n">
        <v>0.50964</v>
      </c>
      <c r="E854" s="13" t="n">
        <v>0.99929</v>
      </c>
      <c r="F854" s="16" t="n">
        <f aca="false">IF(H854=1,"",D854/E854)</f>
        <v>0.510002101492059</v>
      </c>
      <c r="G854" s="17" t="n">
        <f aca="false">IF(H854=1,"",D854/E854*Notas!$B$3)</f>
        <v>48.4501996417456</v>
      </c>
      <c r="H854" s="13" t="n">
        <v>0</v>
      </c>
      <c r="I854" s="17" t="n">
        <f aca="false">IF(H854=1,D854,G854)</f>
        <v>48.4501996417456</v>
      </c>
    </row>
    <row r="855" customFormat="false" ht="15" hidden="false" customHeight="false" outlineLevel="0" collapsed="false">
      <c r="A855" s="13" t="s">
        <v>242</v>
      </c>
      <c r="B855" s="13" t="s">
        <v>30</v>
      </c>
      <c r="C855" s="13" t="s">
        <v>32</v>
      </c>
      <c r="D855" s="15" t="n">
        <v>0.48965</v>
      </c>
      <c r="E855" s="13" t="n">
        <v>0.99929</v>
      </c>
      <c r="F855" s="16" t="n">
        <f aca="false">IF(H855=1,"",D855/E855)</f>
        <v>0.489997898507941</v>
      </c>
      <c r="G855" s="17" t="n">
        <f aca="false">IF(H855=1,"",D855/E855*Notas!$B$3)</f>
        <v>46.5498003582544</v>
      </c>
      <c r="H855" s="13" t="n">
        <v>0</v>
      </c>
      <c r="I855" s="17" t="n">
        <f aca="false">IF(H855=1,D855,G855)</f>
        <v>46.5498003582544</v>
      </c>
    </row>
    <row r="856" customFormat="false" ht="15" hidden="false" customHeight="false" outlineLevel="0" collapsed="false">
      <c r="A856" s="13" t="s">
        <v>242</v>
      </c>
      <c r="B856" s="13" t="s">
        <v>30</v>
      </c>
      <c r="C856" s="13" t="s">
        <v>33</v>
      </c>
      <c r="D856" s="15" t="n">
        <v>0.61082</v>
      </c>
      <c r="E856" s="13" t="n">
        <v>0.99929</v>
      </c>
      <c r="F856" s="16" t="n">
        <f aca="false">IF(H856=1,"",D856/E856)</f>
        <v>0.611253990333137</v>
      </c>
      <c r="G856" s="17" t="n">
        <f aca="false">IF(H856=1,"",D856/E856*Notas!$B$3)</f>
        <v>58.069129081648</v>
      </c>
      <c r="H856" s="13" t="n">
        <v>0</v>
      </c>
      <c r="I856" s="17" t="n">
        <f aca="false">IF(H856=1,D856,G856)</f>
        <v>58.069129081648</v>
      </c>
    </row>
    <row r="857" customFormat="false" ht="15" hidden="false" customHeight="false" outlineLevel="0" collapsed="false">
      <c r="A857" s="13" t="s">
        <v>242</v>
      </c>
      <c r="B857" s="13" t="s">
        <v>30</v>
      </c>
      <c r="C857" s="13" t="s">
        <v>34</v>
      </c>
      <c r="D857" s="15" t="n">
        <v>0.42395</v>
      </c>
      <c r="E857" s="13" t="n">
        <v>0.99929</v>
      </c>
      <c r="F857" s="16" t="n">
        <f aca="false">IF(H857=1,"",D857/E857)</f>
        <v>0.424251218365039</v>
      </c>
      <c r="G857" s="17" t="n">
        <f aca="false">IF(H857=1,"",D857/E857*Notas!$B$3)</f>
        <v>40.3038657446787</v>
      </c>
      <c r="H857" s="13" t="n">
        <v>0</v>
      </c>
      <c r="I857" s="17" t="n">
        <f aca="false">IF(H857=1,D857,G857)</f>
        <v>40.3038657446787</v>
      </c>
    </row>
    <row r="858" customFormat="false" ht="15" hidden="false" customHeight="false" outlineLevel="0" collapsed="false">
      <c r="A858" s="13" t="s">
        <v>242</v>
      </c>
      <c r="B858" s="13" t="s">
        <v>35</v>
      </c>
      <c r="C858" s="13" t="s">
        <v>36</v>
      </c>
      <c r="D858" s="15" t="n">
        <v>2.04082</v>
      </c>
      <c r="E858" s="13" t="n">
        <v>0.99929</v>
      </c>
      <c r="F858" s="16" t="str">
        <f aca="false">IF(H858=1,"",D858/E858)</f>
        <v/>
      </c>
      <c r="G858" s="17" t="str">
        <f aca="false">IF(H858=1,"",D858/E858*Notas!$B$3)</f>
        <v/>
      </c>
      <c r="H858" s="13" t="n">
        <v>1</v>
      </c>
      <c r="I858" s="17" t="n">
        <f aca="false">IF(H858=1,D858,G858)</f>
        <v>2.04082</v>
      </c>
    </row>
    <row r="859" customFormat="false" ht="15" hidden="false" customHeight="false" outlineLevel="0" collapsed="false">
      <c r="A859" s="13" t="s">
        <v>242</v>
      </c>
      <c r="B859" s="13" t="s">
        <v>35</v>
      </c>
      <c r="C859" s="13" t="s">
        <v>37</v>
      </c>
      <c r="D859" s="15" t="n">
        <v>49</v>
      </c>
      <c r="E859" s="13" t="n">
        <v>0.99929</v>
      </c>
      <c r="F859" s="16" t="str">
        <f aca="false">IF(H859=1,"",D859/E859)</f>
        <v/>
      </c>
      <c r="G859" s="17" t="str">
        <f aca="false">IF(H859=1,"",D859/E859*Notas!$B$3)</f>
        <v/>
      </c>
      <c r="H859" s="13" t="n">
        <v>1</v>
      </c>
      <c r="I859" s="17" t="n">
        <f aca="false">IF(H859=1,D859,G859)</f>
        <v>49</v>
      </c>
    </row>
    <row r="860" customFormat="false" ht="15" hidden="false" customHeight="false" outlineLevel="0" collapsed="false">
      <c r="A860" s="13" t="s">
        <v>242</v>
      </c>
      <c r="B860" s="13" t="s">
        <v>38</v>
      </c>
      <c r="C860" s="13" t="s">
        <v>39</v>
      </c>
      <c r="D860" s="15" t="n">
        <v>0.65289</v>
      </c>
      <c r="E860" s="13" t="n">
        <v>0.99929</v>
      </c>
      <c r="F860" s="16" t="n">
        <f aca="false">IF(H860=1,"",D860/E860)</f>
        <v>0.653353881255692</v>
      </c>
      <c r="G860" s="17" t="n">
        <f aca="false">IF(H860=1,"",D860/E860*Notas!$B$3)</f>
        <v>62.0686187192907</v>
      </c>
      <c r="H860" s="13" t="n">
        <v>0</v>
      </c>
      <c r="I860" s="17" t="n">
        <f aca="false">IF(H860=1,D860,G860)</f>
        <v>62.0686187192907</v>
      </c>
    </row>
    <row r="861" customFormat="false" ht="15" hidden="false" customHeight="false" outlineLevel="0" collapsed="false">
      <c r="A861" s="13" t="s">
        <v>242</v>
      </c>
      <c r="B861" s="13" t="s">
        <v>38</v>
      </c>
      <c r="C861" s="13" t="s">
        <v>40</v>
      </c>
      <c r="D861" s="15" t="n">
        <v>0.10967</v>
      </c>
      <c r="E861" s="13" t="n">
        <v>0.99929</v>
      </c>
      <c r="F861" s="16" t="n">
        <f aca="false">IF(H861=1,"",D861/E861)</f>
        <v>0.109747921023927</v>
      </c>
      <c r="G861" s="17" t="n">
        <f aca="false">IF(H861=1,"",D861/E861*Notas!$B$3)</f>
        <v>10.4260524972731</v>
      </c>
      <c r="H861" s="13" t="n">
        <v>0</v>
      </c>
      <c r="I861" s="17" t="n">
        <f aca="false">IF(H861=1,D861,G861)</f>
        <v>10.4260524972731</v>
      </c>
    </row>
    <row r="862" customFormat="false" ht="15" hidden="false" customHeight="false" outlineLevel="0" collapsed="false">
      <c r="A862" s="13" t="s">
        <v>242</v>
      </c>
      <c r="B862" s="13" t="s">
        <v>38</v>
      </c>
      <c r="C862" s="13" t="s">
        <v>41</v>
      </c>
      <c r="D862" s="15" t="n">
        <v>0.16631</v>
      </c>
      <c r="E862" s="13" t="n">
        <v>0.99929</v>
      </c>
      <c r="F862" s="16" t="n">
        <f aca="false">IF(H862=1,"",D862/E862)</f>
        <v>0.166428163996437</v>
      </c>
      <c r="G862" s="17" t="n">
        <f aca="false">IF(H862=1,"",D862/E862*Notas!$B$3)</f>
        <v>15.8106755796616</v>
      </c>
      <c r="H862" s="13" t="n">
        <v>0</v>
      </c>
      <c r="I862" s="17" t="n">
        <f aca="false">IF(H862=1,D862,G862)</f>
        <v>15.8106755796616</v>
      </c>
    </row>
    <row r="863" customFormat="false" ht="15" hidden="false" customHeight="false" outlineLevel="0" collapsed="false">
      <c r="A863" s="13" t="s">
        <v>242</v>
      </c>
      <c r="B863" s="13" t="s">
        <v>38</v>
      </c>
      <c r="C863" s="13" t="s">
        <v>42</v>
      </c>
      <c r="D863" s="15" t="n">
        <v>-0.10357</v>
      </c>
      <c r="E863" s="13" t="n">
        <v>0.99929</v>
      </c>
      <c r="F863" s="16" t="n">
        <f aca="false">IF(H863=1,"",D863/E863)</f>
        <v>-0.103643586946732</v>
      </c>
      <c r="G863" s="17" t="n">
        <f aca="false">IF(H863=1,"",D863/E863*Notas!$B$3)</f>
        <v>-9.84614075993956</v>
      </c>
      <c r="H863" s="13" t="n">
        <v>0</v>
      </c>
      <c r="I863" s="17" t="n">
        <f aca="false">IF(H863=1,D863,G863)</f>
        <v>-9.84614075993956</v>
      </c>
    </row>
    <row r="864" customFormat="false" ht="15" hidden="false" customHeight="false" outlineLevel="0" collapsed="false">
      <c r="A864" s="13" t="s">
        <v>242</v>
      </c>
      <c r="B864" s="13" t="s">
        <v>38</v>
      </c>
      <c r="C864" s="13" t="s">
        <v>43</v>
      </c>
      <c r="D864" s="15" t="n">
        <v>0.63781</v>
      </c>
      <c r="E864" s="13" t="n">
        <v>0.99929</v>
      </c>
      <c r="F864" s="16" t="n">
        <f aca="false">IF(H864=1,"",D864/E864)</f>
        <v>0.638263166848462</v>
      </c>
      <c r="G864" s="17" t="n">
        <f aca="false">IF(H864=1,"",D864/E864*Notas!$B$3)</f>
        <v>60.6350008506039</v>
      </c>
      <c r="H864" s="13" t="n">
        <v>0</v>
      </c>
      <c r="I864" s="17" t="n">
        <f aca="false">IF(H864=1,D864,G864)</f>
        <v>60.6350008506039</v>
      </c>
    </row>
    <row r="865" customFormat="false" ht="15" hidden="false" customHeight="false" outlineLevel="0" collapsed="false">
      <c r="A865" s="13" t="s">
        <v>242</v>
      </c>
      <c r="B865" s="13" t="s">
        <v>38</v>
      </c>
      <c r="C865" s="13" t="s">
        <v>44</v>
      </c>
      <c r="D865" s="15" t="n">
        <v>0.16833</v>
      </c>
      <c r="E865" s="13" t="n">
        <v>0.99929</v>
      </c>
      <c r="F865" s="16" t="n">
        <f aca="false">IF(H865=1,"",D865/E865)</f>
        <v>0.168449599215443</v>
      </c>
      <c r="G865" s="17" t="n">
        <f aca="false">IF(H865=1,"",D865/E865*Notas!$B$3)</f>
        <v>16.0027119254671</v>
      </c>
      <c r="H865" s="13" t="n">
        <v>0</v>
      </c>
      <c r="I865" s="17" t="n">
        <f aca="false">IF(H865=1,D865,G865)</f>
        <v>16.0027119254671</v>
      </c>
    </row>
    <row r="866" customFormat="false" ht="15" hidden="false" customHeight="false" outlineLevel="0" collapsed="false">
      <c r="A866" s="13" t="s">
        <v>242</v>
      </c>
      <c r="B866" s="13" t="s">
        <v>38</v>
      </c>
      <c r="C866" s="13" t="s">
        <v>45</v>
      </c>
      <c r="D866" s="15" t="n">
        <v>0.19999</v>
      </c>
      <c r="E866" s="13" t="n">
        <v>0.99929</v>
      </c>
      <c r="F866" s="16" t="n">
        <f aca="false">IF(H866=1,"",D866/E866)</f>
        <v>0.200132093786588</v>
      </c>
      <c r="G866" s="17" t="n">
        <f aca="false">IF(H866=1,"",D866/E866*Notas!$B$3)</f>
        <v>19.0125489097259</v>
      </c>
      <c r="H866" s="13" t="n">
        <v>0</v>
      </c>
      <c r="I866" s="17" t="n">
        <f aca="false">IF(H866=1,D866,G866)</f>
        <v>19.0125489097259</v>
      </c>
    </row>
    <row r="867" customFormat="false" ht="15" hidden="false" customHeight="false" outlineLevel="0" collapsed="false">
      <c r="A867" s="13" t="s">
        <v>242</v>
      </c>
      <c r="B867" s="13" t="s">
        <v>38</v>
      </c>
      <c r="C867" s="13" t="s">
        <v>46</v>
      </c>
      <c r="D867" s="15" t="n">
        <v>0.14361</v>
      </c>
      <c r="E867" s="13" t="n">
        <v>0.99929</v>
      </c>
      <c r="F867" s="16" t="n">
        <f aca="false">IF(H867=1,"",D867/E867)</f>
        <v>0.143712035545237</v>
      </c>
      <c r="G867" s="17" t="n">
        <f aca="false">IF(H867=1,"",D867/E867*Notas!$B$3)</f>
        <v>13.6526433767975</v>
      </c>
      <c r="H867" s="13" t="n">
        <v>0</v>
      </c>
      <c r="I867" s="17" t="n">
        <f aca="false">IF(H867=1,D867,G867)</f>
        <v>13.6526433767975</v>
      </c>
    </row>
    <row r="868" customFormat="false" ht="15" hidden="false" customHeight="false" outlineLevel="0" collapsed="false">
      <c r="A868" s="13" t="s">
        <v>242</v>
      </c>
      <c r="B868" s="13" t="s">
        <v>38</v>
      </c>
      <c r="C868" s="13" t="s">
        <v>47</v>
      </c>
      <c r="D868" s="15" t="n">
        <v>0.19999</v>
      </c>
      <c r="E868" s="13" t="n">
        <v>0.99929</v>
      </c>
      <c r="F868" s="16" t="n">
        <f aca="false">IF(H868=1,"",D868/E868)</f>
        <v>0.200132093786588</v>
      </c>
      <c r="G868" s="17" t="n">
        <f aca="false">IF(H868=1,"",D868/E868*Notas!$B$3)</f>
        <v>19.0125489097259</v>
      </c>
      <c r="H868" s="13" t="n">
        <v>0</v>
      </c>
      <c r="I868" s="17" t="n">
        <f aca="false">IF(H868=1,D868,G868)</f>
        <v>19.0125489097259</v>
      </c>
    </row>
    <row r="869" customFormat="false" ht="15" hidden="false" customHeight="false" outlineLevel="0" collapsed="false">
      <c r="A869" s="13" t="s">
        <v>242</v>
      </c>
      <c r="B869" s="13" t="s">
        <v>38</v>
      </c>
      <c r="C869" s="13" t="s">
        <v>48</v>
      </c>
      <c r="D869" s="15" t="n">
        <v>0.38619</v>
      </c>
      <c r="E869" s="13" t="n">
        <v>0.99929</v>
      </c>
      <c r="F869" s="16" t="n">
        <f aca="false">IF(H869=1,"",D869/E869)</f>
        <v>0.386464389716699</v>
      </c>
      <c r="G869" s="17" t="n">
        <f aca="false">IF(H869=1,"",D869/E869*Notas!$B$3)</f>
        <v>36.7141170230864</v>
      </c>
      <c r="H869" s="13" t="n">
        <v>0</v>
      </c>
      <c r="I869" s="17" t="n">
        <f aca="false">IF(H869=1,D869,G869)</f>
        <v>36.7141170230864</v>
      </c>
    </row>
    <row r="870" customFormat="false" ht="15" hidden="false" customHeight="false" outlineLevel="0" collapsed="false">
      <c r="A870" s="13" t="s">
        <v>242</v>
      </c>
      <c r="B870" s="13" t="s">
        <v>30</v>
      </c>
      <c r="C870" s="13" t="s">
        <v>49</v>
      </c>
      <c r="D870" s="15" t="n">
        <v>0.5316</v>
      </c>
      <c r="E870" s="13" t="n">
        <v>0.99929</v>
      </c>
      <c r="F870" s="16" t="n">
        <f aca="false">IF(H870=1,"",D870/E870)</f>
        <v>0.531977704169961</v>
      </c>
      <c r="G870" s="17" t="n">
        <f aca="false">IF(H870=1,"",D870/E870*Notas!$B$3)</f>
        <v>50.5378818961463</v>
      </c>
      <c r="H870" s="13" t="n">
        <v>0</v>
      </c>
      <c r="I870" s="17" t="n">
        <f aca="false">IF(H870=1,D870,G870)</f>
        <v>50.5378818961463</v>
      </c>
    </row>
    <row r="871" customFormat="false" ht="15" hidden="false" customHeight="false" outlineLevel="0" collapsed="false">
      <c r="A871" s="13" t="s">
        <v>242</v>
      </c>
      <c r="B871" s="13" t="s">
        <v>30</v>
      </c>
      <c r="C871" s="13" t="s">
        <v>50</v>
      </c>
      <c r="D871" s="15" t="n">
        <v>0.36467</v>
      </c>
      <c r="E871" s="13" t="n">
        <v>0.99929</v>
      </c>
      <c r="F871" s="16" t="n">
        <f aca="false">IF(H871=1,"",D871/E871)</f>
        <v>0.364929099660759</v>
      </c>
      <c r="G871" s="17" t="n">
        <f aca="false">IF(H871=1,"",D871/E871*Notas!$B$3)</f>
        <v>34.6682644677721</v>
      </c>
      <c r="H871" s="13" t="n">
        <v>0</v>
      </c>
      <c r="I871" s="17" t="n">
        <f aca="false">IF(H871=1,D871,G871)</f>
        <v>34.6682644677721</v>
      </c>
    </row>
    <row r="872" customFormat="false" ht="15" hidden="false" customHeight="false" outlineLevel="0" collapsed="false">
      <c r="A872" s="13" t="s">
        <v>242</v>
      </c>
      <c r="B872" s="13" t="s">
        <v>30</v>
      </c>
      <c r="C872" s="13" t="s">
        <v>51</v>
      </c>
      <c r="D872" s="15" t="n">
        <v>2.08098</v>
      </c>
      <c r="E872" s="13" t="n">
        <v>0.99929</v>
      </c>
      <c r="F872" s="16" t="n">
        <f aca="false">IF(H872=1,"",D872/E872)</f>
        <v>2.08245854556735</v>
      </c>
      <c r="G872" s="17" t="n">
        <f aca="false">IF(H872=1,"",D872/E872*Notas!$B$3)</f>
        <v>197.833561828899</v>
      </c>
      <c r="H872" s="13" t="n">
        <v>0</v>
      </c>
      <c r="I872" s="17" t="n">
        <f aca="false">IF(H872=1,D872,G872)</f>
        <v>197.833561828899</v>
      </c>
    </row>
    <row r="873" customFormat="false" ht="15" hidden="false" customHeight="false" outlineLevel="0" collapsed="false">
      <c r="A873" s="13" t="s">
        <v>242</v>
      </c>
      <c r="B873" s="13" t="s">
        <v>30</v>
      </c>
      <c r="C873" s="13" t="s">
        <v>52</v>
      </c>
      <c r="D873" s="15" t="n">
        <v>0.5689</v>
      </c>
      <c r="E873" s="13" t="n">
        <v>0.99929</v>
      </c>
      <c r="F873" s="16" t="n">
        <f aca="false">IF(H873=1,"",D873/E873)</f>
        <v>0.56930420598625</v>
      </c>
      <c r="G873" s="17" t="n">
        <f aca="false">IF(H873=1,"",D873/E873*Notas!$B$3)</f>
        <v>54.0838995686938</v>
      </c>
      <c r="H873" s="13" t="n">
        <v>0</v>
      </c>
      <c r="I873" s="17" t="n">
        <f aca="false">IF(H873=1,D873,G873)</f>
        <v>54.0838995686938</v>
      </c>
    </row>
    <row r="874" customFormat="false" ht="15" hidden="false" customHeight="false" outlineLevel="0" collapsed="false">
      <c r="A874" s="13" t="s">
        <v>242</v>
      </c>
      <c r="B874" s="13" t="s">
        <v>30</v>
      </c>
      <c r="C874" s="13" t="s">
        <v>53</v>
      </c>
      <c r="D874" s="15" t="n">
        <v>0.41751</v>
      </c>
      <c r="E874" s="13" t="n">
        <v>0.99929</v>
      </c>
      <c r="F874" s="16" t="n">
        <f aca="false">IF(H874=1,"",D874/E874)</f>
        <v>0.417806642716329</v>
      </c>
      <c r="G874" s="17" t="n">
        <f aca="false">IF(H874=1,"",D874/E874*Notas!$B$3)</f>
        <v>39.6916310580512</v>
      </c>
      <c r="H874" s="13" t="n">
        <v>0</v>
      </c>
      <c r="I874" s="17" t="n">
        <f aca="false">IF(H874=1,D874,G874)</f>
        <v>39.6916310580512</v>
      </c>
    </row>
    <row r="875" customFormat="false" ht="15" hidden="false" customHeight="false" outlineLevel="0" collapsed="false">
      <c r="A875" s="13" t="s">
        <v>242</v>
      </c>
      <c r="B875" s="13" t="s">
        <v>30</v>
      </c>
      <c r="C875" s="13" t="s">
        <v>54</v>
      </c>
      <c r="D875" s="15" t="n">
        <v>1.88776</v>
      </c>
      <c r="E875" s="13" t="n">
        <v>0.99929</v>
      </c>
      <c r="F875" s="16" t="n">
        <f aca="false">IF(H875=1,"",D875/E875)</f>
        <v>1.88910126189595</v>
      </c>
      <c r="G875" s="17" t="n">
        <f aca="false">IF(H875=1,"",D875/E875*Notas!$B$3)</f>
        <v>179.464619880115</v>
      </c>
      <c r="H875" s="13" t="n">
        <v>0</v>
      </c>
      <c r="I875" s="17" t="n">
        <f aca="false">IF(H875=1,D875,G875)</f>
        <v>179.464619880115</v>
      </c>
    </row>
    <row r="876" customFormat="false" ht="15" hidden="false" customHeight="false" outlineLevel="0" collapsed="false">
      <c r="A876" s="13" t="s">
        <v>242</v>
      </c>
      <c r="B876" s="13" t="s">
        <v>30</v>
      </c>
      <c r="C876" s="13" t="s">
        <v>55</v>
      </c>
      <c r="D876" s="15" t="n">
        <v>0.50781</v>
      </c>
      <c r="E876" s="13" t="n">
        <v>0.99929</v>
      </c>
      <c r="F876" s="16" t="n">
        <f aca="false">IF(H876=1,"",D876/E876)</f>
        <v>0.508170801268901</v>
      </c>
      <c r="G876" s="17" t="n">
        <f aca="false">IF(H876=1,"",D876/E876*Notas!$B$3)</f>
        <v>48.2762261205456</v>
      </c>
      <c r="H876" s="13" t="n">
        <v>0</v>
      </c>
      <c r="I876" s="17" t="n">
        <f aca="false">IF(H876=1,D876,G876)</f>
        <v>48.2762261205456</v>
      </c>
    </row>
    <row r="877" customFormat="false" ht="15" hidden="false" customHeight="false" outlineLevel="0" collapsed="false">
      <c r="A877" s="13" t="s">
        <v>242</v>
      </c>
      <c r="B877" s="13" t="s">
        <v>30</v>
      </c>
      <c r="C877" s="13" t="s">
        <v>56</v>
      </c>
      <c r="D877" s="15" t="n">
        <v>0.35422</v>
      </c>
      <c r="E877" s="13" t="n">
        <v>0.99929</v>
      </c>
      <c r="F877" s="16" t="n">
        <f aca="false">IF(H877=1,"",D877/E877)</f>
        <v>0.354471674889171</v>
      </c>
      <c r="G877" s="17" t="n">
        <f aca="false">IF(H877=1,"",D877/E877*Notas!$B$3)</f>
        <v>33.6748091144713</v>
      </c>
      <c r="H877" s="13" t="n">
        <v>0</v>
      </c>
      <c r="I877" s="17" t="n">
        <f aca="false">IF(H877=1,D877,G877)</f>
        <v>33.6748091144713</v>
      </c>
    </row>
    <row r="878" customFormat="false" ht="15" hidden="false" customHeight="false" outlineLevel="0" collapsed="false">
      <c r="A878" s="13" t="s">
        <v>242</v>
      </c>
      <c r="B878" s="13" t="s">
        <v>30</v>
      </c>
      <c r="C878" s="13" t="s">
        <v>57</v>
      </c>
      <c r="D878" s="15" t="n">
        <v>1.88772</v>
      </c>
      <c r="E878" s="13" t="n">
        <v>0.99929</v>
      </c>
      <c r="F878" s="16" t="n">
        <f aca="false">IF(H878=1,"",D878/E878)</f>
        <v>1.88906123347577</v>
      </c>
      <c r="G878" s="17" t="n">
        <f aca="false">IF(H878=1,"",D878/E878*Notas!$B$3)</f>
        <v>179.460817180198</v>
      </c>
      <c r="H878" s="13" t="n">
        <v>0</v>
      </c>
      <c r="I878" s="17" t="n">
        <f aca="false">IF(H878=1,D878,G878)</f>
        <v>179.460817180198</v>
      </c>
    </row>
    <row r="879" customFormat="false" ht="15" hidden="false" customHeight="false" outlineLevel="0" collapsed="false">
      <c r="A879" s="13" t="s">
        <v>242</v>
      </c>
      <c r="B879" s="13" t="s">
        <v>58</v>
      </c>
      <c r="C879" s="13" t="s">
        <v>59</v>
      </c>
      <c r="D879" s="15" t="n">
        <v>0.69725</v>
      </c>
      <c r="E879" s="13" t="n">
        <v>0.99929</v>
      </c>
      <c r="F879" s="16" t="n">
        <f aca="false">IF(H879=1,"",D879/E879)</f>
        <v>0.697745399233456</v>
      </c>
      <c r="G879" s="17" t="n">
        <f aca="false">IF(H879=1,"",D879/E879*Notas!$B$3)</f>
        <v>66.2858129271783</v>
      </c>
      <c r="H879" s="13" t="n">
        <v>0</v>
      </c>
      <c r="I879" s="17" t="n">
        <f aca="false">IF(H879=1,D879,G879)</f>
        <v>66.2858129271783</v>
      </c>
    </row>
    <row r="880" customFormat="false" ht="15" hidden="false" customHeight="false" outlineLevel="0" collapsed="false">
      <c r="A880" s="13" t="s">
        <v>242</v>
      </c>
      <c r="B880" s="13" t="s">
        <v>58</v>
      </c>
      <c r="C880" s="13" t="s">
        <v>60</v>
      </c>
      <c r="D880" s="15" t="n">
        <v>0.29425</v>
      </c>
      <c r="E880" s="13" t="n">
        <v>0.99929</v>
      </c>
      <c r="F880" s="16" t="n">
        <f aca="false">IF(H880=1,"",D880/E880)</f>
        <v>0.294459065936815</v>
      </c>
      <c r="G880" s="17" t="n">
        <f aca="false">IF(H880=1,"",D880/E880*Notas!$B$3)</f>
        <v>27.9736112639974</v>
      </c>
      <c r="H880" s="13" t="n">
        <v>0</v>
      </c>
      <c r="I880" s="17" t="n">
        <f aca="false">IF(H880=1,D880,G880)</f>
        <v>27.9736112639974</v>
      </c>
    </row>
    <row r="881" customFormat="false" ht="15" hidden="false" customHeight="false" outlineLevel="0" collapsed="false">
      <c r="A881" s="13" t="s">
        <v>242</v>
      </c>
      <c r="B881" s="13" t="s">
        <v>58</v>
      </c>
      <c r="C881" s="13" t="s">
        <v>61</v>
      </c>
      <c r="D881" s="15" t="n">
        <v>0.69753</v>
      </c>
      <c r="E881" s="13" t="n">
        <v>0.99929</v>
      </c>
      <c r="F881" s="16" t="n">
        <f aca="false">IF(H881=1,"",D881/E881)</f>
        <v>0.698025598174704</v>
      </c>
      <c r="G881" s="17" t="n">
        <f aca="false">IF(H881=1,"",D881/E881*Notas!$B$3)</f>
        <v>66.3124318265969</v>
      </c>
      <c r="H881" s="13" t="n">
        <v>0</v>
      </c>
      <c r="I881" s="17" t="n">
        <f aca="false">IF(H881=1,D881,G881)</f>
        <v>66.3124318265969</v>
      </c>
    </row>
    <row r="882" customFormat="false" ht="15" hidden="false" customHeight="false" outlineLevel="0" collapsed="false">
      <c r="A882" s="13" t="s">
        <v>242</v>
      </c>
      <c r="B882" s="13" t="s">
        <v>58</v>
      </c>
      <c r="C882" s="13" t="s">
        <v>62</v>
      </c>
      <c r="D882" s="15" t="n">
        <v>0.30541</v>
      </c>
      <c r="E882" s="13" t="n">
        <v>0.99929</v>
      </c>
      <c r="F882" s="16" t="n">
        <f aca="false">IF(H882=1,"",D882/E882)</f>
        <v>0.305626995166568</v>
      </c>
      <c r="G882" s="17" t="n">
        <f aca="false">IF(H882=1,"",D882/E882*Notas!$B$3)</f>
        <v>29.034564540824</v>
      </c>
      <c r="H882" s="13" t="n">
        <v>0</v>
      </c>
      <c r="I882" s="17" t="n">
        <f aca="false">IF(H882=1,D882,G882)</f>
        <v>29.034564540824</v>
      </c>
    </row>
    <row r="883" customFormat="false" ht="15" hidden="false" customHeight="false" outlineLevel="0" collapsed="false">
      <c r="A883" s="13" t="s">
        <v>242</v>
      </c>
      <c r="B883" s="13" t="s">
        <v>63</v>
      </c>
      <c r="C883" s="13" t="s">
        <v>64</v>
      </c>
      <c r="D883" s="15" t="n">
        <v>0.51237</v>
      </c>
      <c r="E883" s="13" t="n">
        <v>0.99929</v>
      </c>
      <c r="F883" s="16" t="n">
        <f aca="false">IF(H883=1,"",D883/E883)</f>
        <v>0.51273404116923</v>
      </c>
      <c r="G883" s="17" t="n">
        <f aca="false">IF(H883=1,"",D883/E883*Notas!$B$3)</f>
        <v>48.7097339110769</v>
      </c>
      <c r="H883" s="13" t="n">
        <v>0</v>
      </c>
      <c r="I883" s="17" t="n">
        <f aca="false">IF(H883=1,D883,G883)</f>
        <v>48.7097339110769</v>
      </c>
    </row>
    <row r="884" customFormat="false" ht="15" hidden="false" customHeight="false" outlineLevel="0" collapsed="false">
      <c r="A884" s="13" t="s">
        <v>242</v>
      </c>
      <c r="B884" s="13" t="s">
        <v>63</v>
      </c>
      <c r="C884" s="13" t="s">
        <v>65</v>
      </c>
      <c r="D884" s="15" t="n">
        <v>0.28979</v>
      </c>
      <c r="E884" s="13" t="n">
        <v>0.99929</v>
      </c>
      <c r="F884" s="16" t="n">
        <f aca="false">IF(H884=1,"",D884/E884)</f>
        <v>0.289995897086932</v>
      </c>
      <c r="G884" s="17" t="n">
        <f aca="false">IF(H884=1,"",D884/E884*Notas!$B$3)</f>
        <v>27.5496102232585</v>
      </c>
      <c r="H884" s="13" t="n">
        <v>0</v>
      </c>
      <c r="I884" s="17" t="n">
        <f aca="false">IF(H884=1,D884,G884)</f>
        <v>27.5496102232585</v>
      </c>
    </row>
    <row r="885" customFormat="false" ht="15" hidden="false" customHeight="false" outlineLevel="0" collapsed="false">
      <c r="A885" s="13" t="s">
        <v>242</v>
      </c>
      <c r="B885" s="13" t="s">
        <v>63</v>
      </c>
      <c r="C885" s="13" t="s">
        <v>66</v>
      </c>
      <c r="D885" s="15" t="n">
        <v>0.22258</v>
      </c>
      <c r="E885" s="13" t="n">
        <v>0.99929</v>
      </c>
      <c r="F885" s="16" t="n">
        <f aca="false">IF(H885=1,"",D885/E885)</f>
        <v>0.222738144082298</v>
      </c>
      <c r="G885" s="17" t="n">
        <f aca="false">IF(H885=1,"",D885/E885*Notas!$B$3)</f>
        <v>21.1601236878184</v>
      </c>
      <c r="H885" s="13" t="n">
        <v>0</v>
      </c>
      <c r="I885" s="17" t="n">
        <f aca="false">IF(H885=1,D885,G885)</f>
        <v>21.1601236878184</v>
      </c>
    </row>
    <row r="886" customFormat="false" ht="15" hidden="false" customHeight="false" outlineLevel="0" collapsed="false">
      <c r="A886" s="13" t="s">
        <v>242</v>
      </c>
      <c r="B886" s="13" t="s">
        <v>63</v>
      </c>
      <c r="C886" s="13" t="s">
        <v>67</v>
      </c>
      <c r="D886" s="15" t="n">
        <v>0.28061</v>
      </c>
      <c r="E886" s="13" t="n">
        <v>0.99929</v>
      </c>
      <c r="F886" s="16" t="n">
        <f aca="false">IF(H886=1,"",D886/E886)</f>
        <v>0.280809374656006</v>
      </c>
      <c r="G886" s="17" t="n">
        <f aca="false">IF(H886=1,"",D886/E886*Notas!$B$3)</f>
        <v>26.6768905923206</v>
      </c>
      <c r="H886" s="13" t="n">
        <v>0</v>
      </c>
      <c r="I886" s="17" t="n">
        <f aca="false">IF(H886=1,D886,G886)</f>
        <v>26.6768905923206</v>
      </c>
    </row>
    <row r="887" customFormat="false" ht="15" hidden="false" customHeight="false" outlineLevel="0" collapsed="false">
      <c r="A887" s="13" t="s">
        <v>242</v>
      </c>
      <c r="B887" s="13" t="s">
        <v>63</v>
      </c>
      <c r="C887" s="13" t="s">
        <v>68</v>
      </c>
      <c r="D887" s="15" t="n">
        <v>0.21274</v>
      </c>
      <c r="E887" s="13" t="n">
        <v>0.99929</v>
      </c>
      <c r="F887" s="16" t="n">
        <f aca="false">IF(H887=1,"",D887/E887)</f>
        <v>0.21289115271843</v>
      </c>
      <c r="G887" s="17" t="n">
        <f aca="false">IF(H887=1,"",D887/E887*Notas!$B$3)</f>
        <v>20.2246595082509</v>
      </c>
      <c r="H887" s="13" t="n">
        <v>0</v>
      </c>
      <c r="I887" s="17" t="n">
        <f aca="false">IF(H887=1,D887,G887)</f>
        <v>20.2246595082509</v>
      </c>
    </row>
    <row r="888" customFormat="false" ht="15" hidden="false" customHeight="false" outlineLevel="0" collapsed="false">
      <c r="A888" s="13" t="s">
        <v>242</v>
      </c>
      <c r="B888" s="13" t="s">
        <v>178</v>
      </c>
      <c r="C888" s="13" t="s">
        <v>179</v>
      </c>
      <c r="D888" s="15" t="n">
        <v>0.49303</v>
      </c>
      <c r="E888" s="13" t="n">
        <v>0.99929</v>
      </c>
      <c r="F888" s="16" t="n">
        <f aca="false">IF(H888=1,"",D888/E888)</f>
        <v>0.493380300013009</v>
      </c>
      <c r="G888" s="17" t="n">
        <f aca="false">IF(H888=1,"",D888/E888*Notas!$B$3)</f>
        <v>46.8711285012359</v>
      </c>
      <c r="H888" s="13" t="n">
        <v>0</v>
      </c>
      <c r="I888" s="17" t="n">
        <f aca="false">IF(H888=1,D888,G888)</f>
        <v>46.8711285012359</v>
      </c>
    </row>
    <row r="889" customFormat="false" ht="15" hidden="false" customHeight="false" outlineLevel="0" collapsed="false">
      <c r="A889" s="13" t="s">
        <v>242</v>
      </c>
      <c r="B889" s="13" t="s">
        <v>178</v>
      </c>
      <c r="C889" s="13" t="s">
        <v>180</v>
      </c>
      <c r="D889" s="15" t="n">
        <v>0.39821</v>
      </c>
      <c r="E889" s="13" t="n">
        <v>0.99929</v>
      </c>
      <c r="F889" s="16" t="n">
        <f aca="false">IF(H889=1,"",D889/E889)</f>
        <v>0.398492929980286</v>
      </c>
      <c r="G889" s="17" t="n">
        <f aca="false">IF(H889=1,"",D889/E889*Notas!$B$3)</f>
        <v>37.8568283481272</v>
      </c>
      <c r="H889" s="13" t="n">
        <v>0</v>
      </c>
      <c r="I889" s="17" t="n">
        <f aca="false">IF(H889=1,D889,G889)</f>
        <v>37.8568283481272</v>
      </c>
    </row>
    <row r="890" customFormat="false" ht="15" hidden="false" customHeight="false" outlineLevel="0" collapsed="false">
      <c r="A890" s="13" t="s">
        <v>242</v>
      </c>
      <c r="B890" s="13" t="s">
        <v>178</v>
      </c>
      <c r="C890" s="13" t="s">
        <v>181</v>
      </c>
      <c r="D890" s="15" t="n">
        <v>0.09481</v>
      </c>
      <c r="E890" s="13" t="n">
        <v>0.99929</v>
      </c>
      <c r="F890" s="16" t="n">
        <f aca="false">IF(H890=1,"",D890/E890)</f>
        <v>0.0948773629276787</v>
      </c>
      <c r="G890" s="17" t="n">
        <f aca="false">IF(H890=1,"",D890/E890*Notas!$B$3)</f>
        <v>9.01334947812947</v>
      </c>
      <c r="H890" s="13" t="n">
        <v>0</v>
      </c>
      <c r="I890" s="17" t="n">
        <f aca="false">IF(H890=1,D890,G890)</f>
        <v>9.01334947812947</v>
      </c>
    </row>
    <row r="891" customFormat="false" ht="15" hidden="false" customHeight="false" outlineLevel="0" collapsed="false">
      <c r="A891" s="13" t="s">
        <v>242</v>
      </c>
      <c r="B891" s="13" t="s">
        <v>178</v>
      </c>
      <c r="C891" s="13" t="s">
        <v>73</v>
      </c>
      <c r="D891" s="15" t="n">
        <v>0.0446</v>
      </c>
      <c r="E891" s="13" t="n">
        <v>0.99929</v>
      </c>
      <c r="F891" s="16" t="n">
        <f aca="false">IF(H891=1,"",D891/E891)</f>
        <v>0.0446316884988342</v>
      </c>
      <c r="G891" s="17" t="n">
        <f aca="false">IF(H891=1,"",D891/E891*Notas!$B$3)</f>
        <v>4.24001040738925</v>
      </c>
      <c r="H891" s="13" t="n">
        <v>0</v>
      </c>
      <c r="I891" s="17" t="n">
        <f aca="false">IF(H891=1,D891,G891)</f>
        <v>4.24001040738925</v>
      </c>
    </row>
    <row r="892" customFormat="false" ht="15" hidden="false" customHeight="false" outlineLevel="0" collapsed="false">
      <c r="A892" s="13" t="s">
        <v>242</v>
      </c>
      <c r="B892" s="13" t="s">
        <v>69</v>
      </c>
      <c r="C892" s="13" t="s">
        <v>70</v>
      </c>
      <c r="D892" s="15" t="n">
        <v>0.32478</v>
      </c>
      <c r="E892" s="13" t="n">
        <v>0.99929</v>
      </c>
      <c r="F892" s="16" t="n">
        <f aca="false">IF(H892=1,"",D892/E892)</f>
        <v>0.325010757637923</v>
      </c>
      <c r="G892" s="17" t="n">
        <f aca="false">IF(H892=1,"",D892/E892*Notas!$B$3)</f>
        <v>30.8760219756027</v>
      </c>
      <c r="H892" s="13" t="n">
        <v>0</v>
      </c>
      <c r="I892" s="17" t="n">
        <f aca="false">IF(H892=1,D892,G892)</f>
        <v>30.8760219756027</v>
      </c>
    </row>
    <row r="893" customFormat="false" ht="15" hidden="false" customHeight="false" outlineLevel="0" collapsed="false">
      <c r="A893" s="13" t="s">
        <v>242</v>
      </c>
      <c r="B893" s="13" t="s">
        <v>69</v>
      </c>
      <c r="C893" s="13" t="s">
        <v>71</v>
      </c>
      <c r="D893" s="15" t="n">
        <v>0.06489</v>
      </c>
      <c r="E893" s="13" t="n">
        <v>0.99929</v>
      </c>
      <c r="F893" s="16" t="n">
        <f aca="false">IF(H893=1,"",D893/E893)</f>
        <v>0.0649361046342904</v>
      </c>
      <c r="G893" s="17" t="n">
        <f aca="false">IF(H893=1,"",D893/E893*Notas!$B$3)</f>
        <v>6.16892994025758</v>
      </c>
      <c r="H893" s="13" t="n">
        <v>0</v>
      </c>
      <c r="I893" s="17" t="n">
        <f aca="false">IF(H893=1,D893,G893)</f>
        <v>6.16892994025758</v>
      </c>
    </row>
    <row r="894" customFormat="false" ht="15" hidden="false" customHeight="false" outlineLevel="0" collapsed="false">
      <c r="A894" s="13" t="s">
        <v>242</v>
      </c>
      <c r="B894" s="13" t="s">
        <v>69</v>
      </c>
      <c r="C894" s="13" t="s">
        <v>72</v>
      </c>
      <c r="D894" s="15" t="n">
        <v>0.25989</v>
      </c>
      <c r="E894" s="13" t="n">
        <v>0.99929</v>
      </c>
      <c r="F894" s="16" t="n">
        <f aca="false">IF(H894=1,"",D894/E894)</f>
        <v>0.260074653003633</v>
      </c>
      <c r="G894" s="17" t="n">
        <f aca="false">IF(H894=1,"",D894/E894*Notas!$B$3)</f>
        <v>24.7070920353451</v>
      </c>
      <c r="H894" s="13" t="n">
        <v>0</v>
      </c>
      <c r="I894" s="17" t="n">
        <f aca="false">IF(H894=1,D894,G894)</f>
        <v>24.7070920353451</v>
      </c>
    </row>
    <row r="895" customFormat="false" ht="15" hidden="false" customHeight="false" outlineLevel="0" collapsed="false">
      <c r="A895" s="13" t="s">
        <v>242</v>
      </c>
      <c r="B895" s="13" t="s">
        <v>69</v>
      </c>
      <c r="C895" s="13" t="s">
        <v>73</v>
      </c>
      <c r="D895" s="15" t="n">
        <v>0.37911</v>
      </c>
      <c r="E895" s="13" t="n">
        <v>0.99929</v>
      </c>
      <c r="F895" s="16" t="n">
        <f aca="false">IF(H895=1,"",D895/E895)</f>
        <v>0.379379359345135</v>
      </c>
      <c r="G895" s="17" t="n">
        <f aca="false">IF(H895=1,"",D895/E895*Notas!$B$3)</f>
        <v>36.0410391377878</v>
      </c>
      <c r="H895" s="13" t="n">
        <v>0</v>
      </c>
      <c r="I895" s="17" t="n">
        <f aca="false">IF(H895=1,D895,G895)</f>
        <v>36.0410391377878</v>
      </c>
    </row>
    <row r="896" customFormat="false" ht="15" hidden="false" customHeight="false" outlineLevel="0" collapsed="false">
      <c r="A896" s="13" t="s">
        <v>242</v>
      </c>
      <c r="B896" s="13" t="s">
        <v>69</v>
      </c>
      <c r="C896" s="13" t="s">
        <v>74</v>
      </c>
      <c r="D896" s="15" t="n">
        <v>0.20615</v>
      </c>
      <c r="E896" s="13" t="n">
        <v>0.99929</v>
      </c>
      <c r="F896" s="16" t="n">
        <f aca="false">IF(H896=1,"",D896/E896)</f>
        <v>0.206296470494051</v>
      </c>
      <c r="G896" s="17" t="n">
        <f aca="false">IF(H896=1,"",D896/E896*Notas!$B$3)</f>
        <v>19.5981646969348</v>
      </c>
      <c r="H896" s="13" t="n">
        <v>0</v>
      </c>
      <c r="I896" s="17" t="n">
        <f aca="false">IF(H896=1,D896,G896)</f>
        <v>19.5981646969348</v>
      </c>
    </row>
    <row r="897" customFormat="false" ht="15" hidden="false" customHeight="false" outlineLevel="0" collapsed="false">
      <c r="A897" s="13" t="s">
        <v>242</v>
      </c>
      <c r="B897" s="13" t="s">
        <v>75</v>
      </c>
      <c r="C897" s="13" t="s">
        <v>76</v>
      </c>
      <c r="D897" s="15" t="n">
        <v>0.16884</v>
      </c>
      <c r="E897" s="13" t="n">
        <v>0.99929</v>
      </c>
      <c r="F897" s="16" t="n">
        <f aca="false">IF(H897=1,"",D897/E897)</f>
        <v>0.168959961572717</v>
      </c>
      <c r="G897" s="17" t="n">
        <f aca="false">IF(H897=1,"",D897/E897*Notas!$B$3)</f>
        <v>16.0511963494081</v>
      </c>
      <c r="H897" s="13" t="n">
        <v>0</v>
      </c>
      <c r="I897" s="17" t="n">
        <f aca="false">IF(H897=1,D897,G897)</f>
        <v>16.0511963494081</v>
      </c>
    </row>
    <row r="898" customFormat="false" ht="15" hidden="false" customHeight="false" outlineLevel="0" collapsed="false">
      <c r="A898" s="13" t="s">
        <v>242</v>
      </c>
      <c r="B898" s="13" t="s">
        <v>75</v>
      </c>
      <c r="C898" s="13" t="s">
        <v>77</v>
      </c>
      <c r="D898" s="15" t="n">
        <v>0.16884</v>
      </c>
      <c r="E898" s="13" t="n">
        <v>0.99929</v>
      </c>
      <c r="F898" s="16" t="n">
        <f aca="false">IF(H898=1,"",D898/E898)</f>
        <v>0.168959961572717</v>
      </c>
      <c r="G898" s="17" t="n">
        <f aca="false">IF(H898=1,"",D898/E898*Notas!$B$3)</f>
        <v>16.0511963494081</v>
      </c>
      <c r="H898" s="13" t="n">
        <v>0</v>
      </c>
      <c r="I898" s="17" t="n">
        <f aca="false">IF(H898=1,D898,G898)</f>
        <v>16.0511963494081</v>
      </c>
    </row>
    <row r="899" customFormat="false" ht="15" hidden="false" customHeight="false" outlineLevel="0" collapsed="false">
      <c r="A899" s="13" t="s">
        <v>242</v>
      </c>
      <c r="B899" s="13" t="s">
        <v>75</v>
      </c>
      <c r="C899" s="13" t="s">
        <v>78</v>
      </c>
      <c r="D899" s="15" t="n">
        <v>0.3408</v>
      </c>
      <c r="E899" s="13" t="n">
        <v>0.99929</v>
      </c>
      <c r="F899" s="16" t="n">
        <f aca="false">IF(H899=1,"",D899/E899)</f>
        <v>0.341042139919343</v>
      </c>
      <c r="G899" s="17" t="n">
        <f aca="false">IF(H899=1,"",D899/E899*Notas!$B$3)</f>
        <v>32.3990032923376</v>
      </c>
      <c r="H899" s="13" t="n">
        <v>0</v>
      </c>
      <c r="I899" s="17" t="n">
        <f aca="false">IF(H899=1,D899,G899)</f>
        <v>32.3990032923376</v>
      </c>
    </row>
    <row r="900" customFormat="false" ht="15" hidden="false" customHeight="false" outlineLevel="0" collapsed="false">
      <c r="A900" s="13" t="s">
        <v>242</v>
      </c>
      <c r="B900" s="13" t="s">
        <v>35</v>
      </c>
      <c r="C900" s="13" t="s">
        <v>79</v>
      </c>
      <c r="D900" s="15" t="n">
        <v>16.89586</v>
      </c>
      <c r="E900" s="13" t="n">
        <v>0.99929</v>
      </c>
      <c r="F900" s="16" t="str">
        <f aca="false">IF(H900=1,"",D900/E900)</f>
        <v/>
      </c>
      <c r="G900" s="17" t="str">
        <f aca="false">IF(H900=1,"",D900/E900*Notas!$B$3)</f>
        <v/>
      </c>
      <c r="H900" s="13" t="n">
        <v>1</v>
      </c>
      <c r="I900" s="17" t="n">
        <f aca="false">IF(H900=1,D900,G900)</f>
        <v>16.89586</v>
      </c>
    </row>
    <row r="901" customFormat="false" ht="15" hidden="false" customHeight="false" outlineLevel="0" collapsed="false">
      <c r="A901" s="13" t="s">
        <v>242</v>
      </c>
      <c r="B901" s="13" t="s">
        <v>35</v>
      </c>
      <c r="C901" s="13" t="s">
        <v>80</v>
      </c>
      <c r="D901" s="15" t="n">
        <v>34.10414</v>
      </c>
      <c r="E901" s="13" t="n">
        <v>0.99929</v>
      </c>
      <c r="F901" s="16" t="str">
        <f aca="false">IF(H901=1,"",D901/E901)</f>
        <v/>
      </c>
      <c r="G901" s="17" t="str">
        <f aca="false">IF(H901=1,"",D901/E901*Notas!$B$3)</f>
        <v/>
      </c>
      <c r="H901" s="13" t="n">
        <v>1</v>
      </c>
      <c r="I901" s="17" t="n">
        <f aca="false">IF(H901=1,D901,G901)</f>
        <v>34.10414</v>
      </c>
    </row>
    <row r="902" customFormat="false" ht="15" hidden="false" customHeight="false" outlineLevel="0" collapsed="false">
      <c r="A902" s="13" t="s">
        <v>242</v>
      </c>
      <c r="B902" s="13" t="s">
        <v>75</v>
      </c>
      <c r="C902" s="13" t="s">
        <v>81</v>
      </c>
      <c r="D902" s="15" t="n">
        <v>0.15579</v>
      </c>
      <c r="E902" s="13" t="n">
        <v>0.99929</v>
      </c>
      <c r="F902" s="16" t="n">
        <f aca="false">IF(H902=1,"",D902/E902)</f>
        <v>0.155900689489538</v>
      </c>
      <c r="G902" s="17" t="n">
        <f aca="false">IF(H902=1,"",D902/E902*Notas!$B$3)</f>
        <v>14.8105655015061</v>
      </c>
      <c r="H902" s="13" t="n">
        <v>0</v>
      </c>
      <c r="I902" s="17" t="n">
        <f aca="false">IF(H902=1,D902,G902)</f>
        <v>14.8105655015061</v>
      </c>
    </row>
    <row r="903" customFormat="false" ht="15" hidden="false" customHeight="false" outlineLevel="0" collapsed="false">
      <c r="A903" s="13" t="s">
        <v>242</v>
      </c>
      <c r="B903" s="13" t="s">
        <v>75</v>
      </c>
      <c r="C903" s="13" t="s">
        <v>82</v>
      </c>
      <c r="D903" s="15" t="n">
        <v>0.16301</v>
      </c>
      <c r="E903" s="13" t="n">
        <v>0.99929</v>
      </c>
      <c r="F903" s="16" t="n">
        <f aca="false">IF(H903=1,"",D903/E903)</f>
        <v>0.163125819331726</v>
      </c>
      <c r="G903" s="17" t="n">
        <f aca="false">IF(H903=1,"",D903/E903*Notas!$B$3)</f>
        <v>15.4969528365139</v>
      </c>
      <c r="H903" s="13" t="n">
        <v>0</v>
      </c>
      <c r="I903" s="17" t="n">
        <f aca="false">IF(H903=1,D903,G903)</f>
        <v>15.4969528365139</v>
      </c>
    </row>
    <row r="904" customFormat="false" ht="15" hidden="false" customHeight="false" outlineLevel="0" collapsed="false">
      <c r="A904" s="13" t="s">
        <v>242</v>
      </c>
      <c r="B904" s="13" t="s">
        <v>75</v>
      </c>
      <c r="C904" s="13" t="s">
        <v>83</v>
      </c>
      <c r="D904" s="15" t="n">
        <v>0.47468</v>
      </c>
      <c r="E904" s="13" t="n">
        <v>0.99929</v>
      </c>
      <c r="F904" s="16" t="n">
        <f aca="false">IF(H904=1,"",D904/E904)</f>
        <v>0.475017262256202</v>
      </c>
      <c r="G904" s="17" t="n">
        <f aca="false">IF(H904=1,"",D904/E904*Notas!$B$3)</f>
        <v>45.1266399143392</v>
      </c>
      <c r="H904" s="13" t="n">
        <v>0</v>
      </c>
      <c r="I904" s="17" t="n">
        <f aca="false">IF(H904=1,D904,G904)</f>
        <v>45.1266399143392</v>
      </c>
    </row>
    <row r="905" customFormat="false" ht="15" hidden="false" customHeight="false" outlineLevel="0" collapsed="false">
      <c r="A905" s="13" t="s">
        <v>242</v>
      </c>
      <c r="B905" s="13" t="s">
        <v>75</v>
      </c>
      <c r="C905" s="13" t="s">
        <v>84</v>
      </c>
      <c r="D905" s="15" t="n">
        <v>0.14645</v>
      </c>
      <c r="E905" s="13" t="n">
        <v>0.99929</v>
      </c>
      <c r="F905" s="16" t="n">
        <f aca="false">IF(H905=1,"",D905/E905)</f>
        <v>0.146554053377898</v>
      </c>
      <c r="G905" s="17" t="n">
        <f aca="false">IF(H905=1,"",D905/E905*Notas!$B$3)</f>
        <v>13.9226350709003</v>
      </c>
      <c r="H905" s="13" t="n">
        <v>0</v>
      </c>
      <c r="I905" s="17" t="n">
        <f aca="false">IF(H905=1,D905,G905)</f>
        <v>13.9226350709003</v>
      </c>
    </row>
    <row r="906" customFormat="false" ht="15" hidden="false" customHeight="false" outlineLevel="0" collapsed="false">
      <c r="A906" s="13" t="s">
        <v>242</v>
      </c>
      <c r="B906" s="13" t="s">
        <v>75</v>
      </c>
      <c r="C906" s="13" t="s">
        <v>85</v>
      </c>
      <c r="D906" s="15" t="n">
        <v>0.14761</v>
      </c>
      <c r="E906" s="13" t="n">
        <v>0.99929</v>
      </c>
      <c r="F906" s="16" t="n">
        <f aca="false">IF(H906=1,"",D906/E906)</f>
        <v>0.14771487756307</v>
      </c>
      <c r="G906" s="17" t="n">
        <f aca="false">IF(H906=1,"",D906/E906*Notas!$B$3)</f>
        <v>14.0329133684916</v>
      </c>
      <c r="H906" s="13" t="n">
        <v>0</v>
      </c>
      <c r="I906" s="17" t="n">
        <f aca="false">IF(H906=1,D906,G906)</f>
        <v>14.0329133684916</v>
      </c>
    </row>
    <row r="907" customFormat="false" ht="15" hidden="false" customHeight="false" outlineLevel="0" collapsed="false">
      <c r="A907" s="13" t="s">
        <v>242</v>
      </c>
      <c r="B907" s="13" t="s">
        <v>75</v>
      </c>
      <c r="C907" s="13" t="s">
        <v>86</v>
      </c>
      <c r="D907" s="15" t="n">
        <v>0.45788</v>
      </c>
      <c r="E907" s="13" t="n">
        <v>0.99929</v>
      </c>
      <c r="F907" s="16" t="n">
        <f aca="false">IF(H907=1,"",D907/E907)</f>
        <v>0.458205325781305</v>
      </c>
      <c r="G907" s="17" t="n">
        <f aca="false">IF(H907=1,"",D907/E907*Notas!$B$3)</f>
        <v>43.529505949224</v>
      </c>
      <c r="H907" s="13" t="n">
        <v>0</v>
      </c>
      <c r="I907" s="17" t="n">
        <f aca="false">IF(H907=1,D907,G907)</f>
        <v>43.529505949224</v>
      </c>
    </row>
    <row r="908" customFormat="false" ht="15" hidden="false" customHeight="false" outlineLevel="0" collapsed="false">
      <c r="A908" s="13" t="s">
        <v>242</v>
      </c>
      <c r="B908" s="13" t="s">
        <v>75</v>
      </c>
      <c r="C908" s="13" t="s">
        <v>87</v>
      </c>
      <c r="D908" s="15" t="n">
        <v>0.0505</v>
      </c>
      <c r="E908" s="13" t="n">
        <v>0.99929</v>
      </c>
      <c r="F908" s="16" t="n">
        <f aca="false">IF(H908=1,"",D908/E908)</f>
        <v>0.0505358804751374</v>
      </c>
      <c r="G908" s="17" t="n">
        <f aca="false">IF(H908=1,"",D908/E908*Notas!$B$3)</f>
        <v>4.80090864513805</v>
      </c>
      <c r="H908" s="13" t="n">
        <v>0</v>
      </c>
      <c r="I908" s="17" t="n">
        <f aca="false">IF(H908=1,D908,G908)</f>
        <v>4.80090864513805</v>
      </c>
    </row>
    <row r="909" customFormat="false" ht="15" hidden="false" customHeight="false" outlineLevel="0" collapsed="false">
      <c r="A909" s="13" t="s">
        <v>242</v>
      </c>
      <c r="B909" s="13" t="s">
        <v>75</v>
      </c>
      <c r="C909" s="13" t="s">
        <v>88</v>
      </c>
      <c r="D909" s="15" t="n">
        <v>0.16294</v>
      </c>
      <c r="E909" s="13" t="n">
        <v>0.99929</v>
      </c>
      <c r="F909" s="16" t="n">
        <f aca="false">IF(H909=1,"",D909/E909)</f>
        <v>0.163055769596413</v>
      </c>
      <c r="G909" s="17" t="n">
        <f aca="false">IF(H909=1,"",D909/E909*Notas!$B$3)</f>
        <v>15.4902981116593</v>
      </c>
      <c r="H909" s="13" t="n">
        <v>0</v>
      </c>
      <c r="I909" s="17" t="n">
        <f aca="false">IF(H909=1,D909,G909)</f>
        <v>15.4902981116593</v>
      </c>
    </row>
    <row r="910" customFormat="false" ht="15" hidden="false" customHeight="false" outlineLevel="0" collapsed="false">
      <c r="A910" s="13" t="s">
        <v>242</v>
      </c>
      <c r="B910" s="13" t="s">
        <v>75</v>
      </c>
      <c r="C910" s="13" t="s">
        <v>89</v>
      </c>
      <c r="D910" s="15" t="n">
        <v>0.16823</v>
      </c>
      <c r="E910" s="13" t="n">
        <v>0.99929</v>
      </c>
      <c r="F910" s="16" t="n">
        <f aca="false">IF(H910=1,"",D910/E910)</f>
        <v>0.168349528164997</v>
      </c>
      <c r="G910" s="17" t="n">
        <f aca="false">IF(H910=1,"",D910/E910*Notas!$B$3)</f>
        <v>15.9932051756747</v>
      </c>
      <c r="H910" s="13" t="n">
        <v>0</v>
      </c>
      <c r="I910" s="17" t="n">
        <f aca="false">IF(H910=1,D910,G910)</f>
        <v>15.9932051756747</v>
      </c>
    </row>
    <row r="911" customFormat="false" ht="15" hidden="false" customHeight="false" outlineLevel="0" collapsed="false">
      <c r="A911" s="13" t="s">
        <v>242</v>
      </c>
      <c r="B911" s="13" t="s">
        <v>75</v>
      </c>
      <c r="C911" s="13" t="s">
        <v>90</v>
      </c>
      <c r="D911" s="15" t="n">
        <v>0.50305</v>
      </c>
      <c r="E911" s="13" t="n">
        <v>0.99929</v>
      </c>
      <c r="F911" s="16" t="n">
        <f aca="false">IF(H911=1,"",D911/E911)</f>
        <v>0.50340741926768</v>
      </c>
      <c r="G911" s="17" t="n">
        <f aca="false">IF(H911=1,"",D911/E911*Notas!$B$3)</f>
        <v>47.8237048304296</v>
      </c>
      <c r="H911" s="13" t="n">
        <v>0</v>
      </c>
      <c r="I911" s="17" t="n">
        <f aca="false">IF(H911=1,D911,G911)</f>
        <v>47.8237048304296</v>
      </c>
    </row>
    <row r="912" customFormat="false" ht="15" hidden="false" customHeight="false" outlineLevel="0" collapsed="false">
      <c r="A912" s="13" t="s">
        <v>242</v>
      </c>
      <c r="B912" s="13" t="s">
        <v>75</v>
      </c>
      <c r="C912" s="13" t="s">
        <v>91</v>
      </c>
      <c r="D912" s="15" t="n">
        <v>0.15254</v>
      </c>
      <c r="E912" s="13" t="n">
        <v>0.99929</v>
      </c>
      <c r="F912" s="16" t="n">
        <f aca="false">IF(H912=1,"",D912/E912)</f>
        <v>0.152648380350049</v>
      </c>
      <c r="G912" s="17" t="n">
        <f aca="false">IF(H912=1,"",D912/E912*Notas!$B$3)</f>
        <v>14.5015961332546</v>
      </c>
      <c r="H912" s="13" t="n">
        <v>0</v>
      </c>
      <c r="I912" s="17" t="n">
        <f aca="false">IF(H912=1,D912,G912)</f>
        <v>14.5015961332546</v>
      </c>
    </row>
    <row r="913" customFormat="false" ht="15" hidden="false" customHeight="false" outlineLevel="0" collapsed="false">
      <c r="A913" s="13" t="s">
        <v>242</v>
      </c>
      <c r="B913" s="13" t="s">
        <v>75</v>
      </c>
      <c r="C913" s="13" t="s">
        <v>92</v>
      </c>
      <c r="D913" s="15" t="n">
        <v>0.16436</v>
      </c>
      <c r="E913" s="13" t="n">
        <v>0.99929</v>
      </c>
      <c r="F913" s="16" t="n">
        <f aca="false">IF(H913=1,"",D913/E913)</f>
        <v>0.164476778512744</v>
      </c>
      <c r="G913" s="17" t="n">
        <f aca="false">IF(H913=1,"",D913/E913*Notas!$B$3)</f>
        <v>15.6252939587107</v>
      </c>
      <c r="H913" s="13" t="n">
        <v>0</v>
      </c>
      <c r="I913" s="17" t="n">
        <f aca="false">IF(H913=1,D913,G913)</f>
        <v>15.6252939587107</v>
      </c>
    </row>
    <row r="914" customFormat="false" ht="15" hidden="false" customHeight="false" outlineLevel="0" collapsed="false">
      <c r="A914" s="13" t="s">
        <v>242</v>
      </c>
      <c r="B914" s="13" t="s">
        <v>75</v>
      </c>
      <c r="C914" s="13" t="s">
        <v>93</v>
      </c>
      <c r="D914" s="15" t="n">
        <v>0.49841</v>
      </c>
      <c r="E914" s="13" t="n">
        <v>0.99929</v>
      </c>
      <c r="F914" s="16" t="n">
        <f aca="false">IF(H914=1,"",D914/E914)</f>
        <v>0.498764122526994</v>
      </c>
      <c r="G914" s="17" t="n">
        <f aca="false">IF(H914=1,"",D914/E914*Notas!$B$3)</f>
        <v>47.3825916400645</v>
      </c>
      <c r="H914" s="13" t="n">
        <v>0</v>
      </c>
      <c r="I914" s="17" t="n">
        <f aca="false">IF(H914=1,D914,G914)</f>
        <v>47.3825916400645</v>
      </c>
    </row>
    <row r="915" customFormat="false" ht="15" hidden="false" customHeight="false" outlineLevel="0" collapsed="false">
      <c r="A915" s="13" t="s">
        <v>242</v>
      </c>
      <c r="B915" s="13" t="s">
        <v>75</v>
      </c>
      <c r="C915" s="13" t="s">
        <v>94</v>
      </c>
      <c r="D915" s="15" t="n">
        <v>0.06354</v>
      </c>
      <c r="E915" s="13" t="n">
        <v>0.99929</v>
      </c>
      <c r="F915" s="16" t="n">
        <f aca="false">IF(H915=1,"",D915/E915)</f>
        <v>0.0635851454532718</v>
      </c>
      <c r="G915" s="17" t="n">
        <f aca="false">IF(H915=1,"",D915/E915*Notas!$B$3)</f>
        <v>6.04058881806082</v>
      </c>
      <c r="H915" s="13" t="n">
        <v>0</v>
      </c>
      <c r="I915" s="17" t="n">
        <f aca="false">IF(H915=1,D915,G915)</f>
        <v>6.04058881806082</v>
      </c>
    </row>
    <row r="916" customFormat="false" ht="15" hidden="false" customHeight="false" outlineLevel="0" collapsed="false">
      <c r="A916" s="13" t="s">
        <v>242</v>
      </c>
      <c r="B916" s="13" t="s">
        <v>75</v>
      </c>
      <c r="C916" s="13" t="s">
        <v>95</v>
      </c>
      <c r="D916" s="15" t="n">
        <v>0.15973</v>
      </c>
      <c r="E916" s="13" t="n">
        <v>0.99929</v>
      </c>
      <c r="F916" s="16" t="n">
        <f aca="false">IF(H916=1,"",D916/E916)</f>
        <v>0.159843488877103</v>
      </c>
      <c r="G916" s="17" t="n">
        <f aca="false">IF(H916=1,"",D916/E916*Notas!$B$3)</f>
        <v>15.1851314433248</v>
      </c>
      <c r="H916" s="13" t="n">
        <v>0</v>
      </c>
      <c r="I916" s="17" t="n">
        <f aca="false">IF(H916=1,D916,G916)</f>
        <v>15.1851314433248</v>
      </c>
    </row>
    <row r="917" customFormat="false" ht="15" hidden="false" customHeight="false" outlineLevel="0" collapsed="false">
      <c r="A917" s="13" t="s">
        <v>242</v>
      </c>
      <c r="B917" s="13" t="s">
        <v>75</v>
      </c>
      <c r="C917" s="13" t="s">
        <v>96</v>
      </c>
      <c r="D917" s="15" t="n">
        <v>0.16291</v>
      </c>
      <c r="E917" s="13" t="n">
        <v>0.99929</v>
      </c>
      <c r="F917" s="16" t="n">
        <f aca="false">IF(H917=1,"",D917/E917)</f>
        <v>0.16302574828128</v>
      </c>
      <c r="G917" s="17" t="n">
        <f aca="false">IF(H917=1,"",D917/E917*Notas!$B$3)</f>
        <v>15.4874460867216</v>
      </c>
      <c r="H917" s="13" t="n">
        <v>0</v>
      </c>
      <c r="I917" s="17" t="n">
        <f aca="false">IF(H917=1,D917,G917)</f>
        <v>15.4874460867216</v>
      </c>
    </row>
    <row r="918" customFormat="false" ht="15" hidden="false" customHeight="false" outlineLevel="0" collapsed="false">
      <c r="A918" s="13" t="s">
        <v>242</v>
      </c>
      <c r="B918" s="13" t="s">
        <v>75</v>
      </c>
      <c r="C918" s="13" t="s">
        <v>97</v>
      </c>
      <c r="D918" s="15" t="n">
        <v>0.48768</v>
      </c>
      <c r="E918" s="13" t="n">
        <v>0.99929</v>
      </c>
      <c r="F918" s="16" t="n">
        <f aca="false">IF(H918=1,"",D918/E918)</f>
        <v>0.488026498814158</v>
      </c>
      <c r="G918" s="17" t="n">
        <f aca="false">IF(H918=1,"",D918/E918*Notas!$B$3)</f>
        <v>46.362517387345</v>
      </c>
      <c r="H918" s="13" t="n">
        <v>0</v>
      </c>
      <c r="I918" s="17" t="n">
        <f aca="false">IF(H918=1,D918,G918)</f>
        <v>46.362517387345</v>
      </c>
    </row>
    <row r="919" customFormat="false" ht="15" hidden="false" customHeight="false" outlineLevel="0" collapsed="false">
      <c r="A919" s="13" t="s">
        <v>242</v>
      </c>
      <c r="B919" s="13" t="s">
        <v>75</v>
      </c>
      <c r="C919" s="13" t="s">
        <v>98</v>
      </c>
      <c r="D919" s="15" t="n">
        <v>0.14993</v>
      </c>
      <c r="E919" s="13" t="n">
        <v>0.99929</v>
      </c>
      <c r="F919" s="16" t="n">
        <f aca="false">IF(H919=1,"",D919/E919)</f>
        <v>0.150036525933413</v>
      </c>
      <c r="G919" s="17" t="n">
        <f aca="false">IF(H919=1,"",D919/E919*Notas!$B$3)</f>
        <v>14.2534699636742</v>
      </c>
      <c r="H919" s="13" t="n">
        <v>0</v>
      </c>
      <c r="I919" s="17" t="n">
        <f aca="false">IF(H919=1,D919,G919)</f>
        <v>14.2534699636742</v>
      </c>
    </row>
    <row r="920" customFormat="false" ht="15" hidden="false" customHeight="false" outlineLevel="0" collapsed="false">
      <c r="A920" s="13" t="s">
        <v>242</v>
      </c>
      <c r="B920" s="13" t="s">
        <v>75</v>
      </c>
      <c r="C920" s="13" t="s">
        <v>99</v>
      </c>
      <c r="D920" s="15" t="n">
        <v>0.16107</v>
      </c>
      <c r="E920" s="13" t="n">
        <v>0.99929</v>
      </c>
      <c r="F920" s="16" t="n">
        <f aca="false">IF(H920=1,"",D920/E920)</f>
        <v>0.161184440953077</v>
      </c>
      <c r="G920" s="17" t="n">
        <f aca="false">IF(H920=1,"",D920/E920*Notas!$B$3)</f>
        <v>15.3125218905423</v>
      </c>
      <c r="H920" s="13" t="n">
        <v>0</v>
      </c>
      <c r="I920" s="17" t="n">
        <f aca="false">IF(H920=1,D920,G920)</f>
        <v>15.3125218905423</v>
      </c>
    </row>
    <row r="921" customFormat="false" ht="15" hidden="false" customHeight="false" outlineLevel="0" collapsed="false">
      <c r="A921" s="13" t="s">
        <v>242</v>
      </c>
      <c r="B921" s="13" t="s">
        <v>75</v>
      </c>
      <c r="C921" s="13" t="s">
        <v>100</v>
      </c>
      <c r="D921" s="15" t="n">
        <v>0.49384</v>
      </c>
      <c r="E921" s="13" t="n">
        <v>0.99929</v>
      </c>
      <c r="F921" s="16" t="n">
        <f aca="false">IF(H921=1,"",D921/E921)</f>
        <v>0.49419087552162</v>
      </c>
      <c r="G921" s="17" t="n">
        <f aca="false">IF(H921=1,"",D921/E921*Notas!$B$3)</f>
        <v>46.9481331745539</v>
      </c>
      <c r="H921" s="13" t="n">
        <v>0</v>
      </c>
      <c r="I921" s="17" t="n">
        <f aca="false">IF(H921=1,D921,G921)</f>
        <v>46.9481331745539</v>
      </c>
    </row>
    <row r="922" customFormat="false" ht="15" hidden="false" customHeight="false" outlineLevel="0" collapsed="false">
      <c r="A922" s="13" t="s">
        <v>242</v>
      </c>
      <c r="B922" s="13" t="s">
        <v>75</v>
      </c>
      <c r="C922" s="13" t="s">
        <v>101</v>
      </c>
      <c r="D922" s="15" t="n">
        <v>0.06472</v>
      </c>
      <c r="E922" s="13" t="n">
        <v>0.99929</v>
      </c>
      <c r="F922" s="16" t="n">
        <f aca="false">IF(H922=1,"",D922/E922)</f>
        <v>0.0647659838485325</v>
      </c>
      <c r="G922" s="17" t="n">
        <f aca="false">IF(H922=1,"",D922/E922*Notas!$B$3)</f>
        <v>6.15276846561058</v>
      </c>
      <c r="H922" s="13" t="n">
        <v>0</v>
      </c>
      <c r="I922" s="17" t="n">
        <f aca="false">IF(H922=1,D922,G922)</f>
        <v>6.15276846561058</v>
      </c>
    </row>
    <row r="923" customFormat="false" ht="15" hidden="false" customHeight="false" outlineLevel="0" collapsed="false">
      <c r="A923" s="13" t="s">
        <v>242</v>
      </c>
      <c r="B923" s="13" t="s">
        <v>102</v>
      </c>
      <c r="C923" s="13" t="s">
        <v>103</v>
      </c>
      <c r="D923" s="15" t="n">
        <v>0.22778</v>
      </c>
      <c r="E923" s="13" t="n">
        <v>0.99929</v>
      </c>
      <c r="F923" s="16" t="n">
        <f aca="false">IF(H923=1,"",D923/E923)</f>
        <v>0.227941838705481</v>
      </c>
      <c r="G923" s="17" t="n">
        <f aca="false">IF(H923=1,"",D923/E923*Notas!$B$3)</f>
        <v>21.6544746770207</v>
      </c>
      <c r="H923" s="13" t="n">
        <v>0</v>
      </c>
      <c r="I923" s="17" t="n">
        <f aca="false">IF(H923=1,D923,G923)</f>
        <v>21.6544746770207</v>
      </c>
    </row>
    <row r="924" customFormat="false" ht="15" hidden="false" customHeight="false" outlineLevel="0" collapsed="false">
      <c r="A924" s="13" t="s">
        <v>242</v>
      </c>
      <c r="B924" s="13" t="s">
        <v>102</v>
      </c>
      <c r="C924" s="13" t="s">
        <v>104</v>
      </c>
      <c r="D924" s="15" t="n">
        <v>0.23268</v>
      </c>
      <c r="E924" s="13" t="n">
        <v>0.99929</v>
      </c>
      <c r="F924" s="16" t="n">
        <f aca="false">IF(H924=1,"",D924/E924)</f>
        <v>0.232845320177326</v>
      </c>
      <c r="G924" s="17" t="n">
        <f aca="false">IF(H924=1,"",D924/E924*Notas!$B$3)</f>
        <v>22.120305416846</v>
      </c>
      <c r="H924" s="13" t="n">
        <v>0</v>
      </c>
      <c r="I924" s="17" t="n">
        <f aca="false">IF(H924=1,D924,G924)</f>
        <v>22.120305416846</v>
      </c>
    </row>
    <row r="925" customFormat="false" ht="15" hidden="false" customHeight="false" outlineLevel="0" collapsed="false">
      <c r="A925" s="13" t="s">
        <v>242</v>
      </c>
      <c r="B925" s="13" t="s">
        <v>102</v>
      </c>
      <c r="C925" s="13" t="s">
        <v>105</v>
      </c>
      <c r="D925" s="15" t="n">
        <v>0.11046</v>
      </c>
      <c r="E925" s="13" t="n">
        <v>0.99929</v>
      </c>
      <c r="F925" s="16" t="n">
        <f aca="false">IF(H925=1,"",D925/E925)</f>
        <v>0.110538482322449</v>
      </c>
      <c r="G925" s="17" t="n">
        <f aca="false">IF(H925=1,"",D925/E925*Notas!$B$3)</f>
        <v>10.5011558206326</v>
      </c>
      <c r="H925" s="13" t="n">
        <v>0</v>
      </c>
      <c r="I925" s="17" t="n">
        <f aca="false">IF(H925=1,D925,G925)</f>
        <v>10.5011558206326</v>
      </c>
    </row>
    <row r="926" customFormat="false" ht="15" hidden="false" customHeight="false" outlineLevel="0" collapsed="false">
      <c r="A926" s="13" t="s">
        <v>242</v>
      </c>
      <c r="B926" s="13" t="s">
        <v>102</v>
      </c>
      <c r="C926" s="13" t="s">
        <v>106</v>
      </c>
      <c r="D926" s="15" t="n">
        <v>-0.12777</v>
      </c>
      <c r="E926" s="13" t="n">
        <v>0.99929</v>
      </c>
      <c r="F926" s="16" t="n">
        <f aca="false">IF(H926=1,"",D926/E926)</f>
        <v>-0.12786078115462</v>
      </c>
      <c r="G926" s="17" t="n">
        <f aca="false">IF(H926=1,"",D926/E926*Notas!$B$3)</f>
        <v>-12.1467742096889</v>
      </c>
      <c r="H926" s="13" t="n">
        <v>0</v>
      </c>
      <c r="I926" s="17" t="n">
        <f aca="false">IF(H926=1,D926,G926)</f>
        <v>-12.1467742096889</v>
      </c>
    </row>
    <row r="927" customFormat="false" ht="15" hidden="false" customHeight="false" outlineLevel="0" collapsed="false">
      <c r="A927" s="13" t="s">
        <v>242</v>
      </c>
      <c r="B927" s="13" t="s">
        <v>102</v>
      </c>
      <c r="C927" s="13" t="s">
        <v>107</v>
      </c>
      <c r="D927" s="15" t="n">
        <v>0.2591</v>
      </c>
      <c r="E927" s="13" t="n">
        <v>0.99929</v>
      </c>
      <c r="F927" s="16" t="n">
        <f aca="false">IF(H927=1,"",D927/E927)</f>
        <v>0.259284091705111</v>
      </c>
      <c r="G927" s="17" t="n">
        <f aca="false">IF(H927=1,"",D927/E927*Notas!$B$3)</f>
        <v>24.6319887119855</v>
      </c>
      <c r="H927" s="13" t="n">
        <v>0</v>
      </c>
      <c r="I927" s="17" t="n">
        <f aca="false">IF(H927=1,D927,G927)</f>
        <v>24.6319887119855</v>
      </c>
    </row>
    <row r="928" customFormat="false" ht="15" hidden="false" customHeight="false" outlineLevel="0" collapsed="false">
      <c r="A928" s="13" t="s">
        <v>242</v>
      </c>
      <c r="B928" s="13" t="s">
        <v>102</v>
      </c>
      <c r="C928" s="13" t="s">
        <v>108</v>
      </c>
      <c r="D928" s="15" t="n">
        <v>0.18574</v>
      </c>
      <c r="E928" s="13" t="n">
        <v>0.99929</v>
      </c>
      <c r="F928" s="16" t="n">
        <f aca="false">IF(H928=1,"",D928/E928)</f>
        <v>0.18587196909806</v>
      </c>
      <c r="G928" s="17" t="n">
        <f aca="false">IF(H928=1,"",D928/E928*Notas!$B$3)</f>
        <v>17.6578370643157</v>
      </c>
      <c r="H928" s="13" t="n">
        <v>0</v>
      </c>
      <c r="I928" s="17" t="n">
        <f aca="false">IF(H928=1,D928,G928)</f>
        <v>17.6578370643157</v>
      </c>
    </row>
    <row r="929" customFormat="false" ht="15" hidden="false" customHeight="false" outlineLevel="0" collapsed="false">
      <c r="A929" s="13" t="s">
        <v>242</v>
      </c>
      <c r="B929" s="13" t="s">
        <v>102</v>
      </c>
      <c r="C929" s="13" t="s">
        <v>109</v>
      </c>
      <c r="D929" s="15" t="n">
        <v>0.1141</v>
      </c>
      <c r="E929" s="13" t="n">
        <v>0.99929</v>
      </c>
      <c r="F929" s="16" t="n">
        <f aca="false">IF(H929=1,"",D929/E929)</f>
        <v>0.114181068558677</v>
      </c>
      <c r="G929" s="17" t="n">
        <f aca="false">IF(H929=1,"",D929/E929*Notas!$B$3)</f>
        <v>10.8472015130743</v>
      </c>
      <c r="H929" s="13" t="n">
        <v>0</v>
      </c>
      <c r="I929" s="17" t="n">
        <f aca="false">IF(H929=1,D929,G929)</f>
        <v>10.8472015130743</v>
      </c>
    </row>
    <row r="930" customFormat="false" ht="15" hidden="false" customHeight="false" outlineLevel="0" collapsed="false">
      <c r="A930" s="13" t="s">
        <v>242</v>
      </c>
      <c r="B930" s="13" t="s">
        <v>102</v>
      </c>
      <c r="C930" s="13" t="s">
        <v>110</v>
      </c>
      <c r="D930" s="15" t="n">
        <v>0.13408</v>
      </c>
      <c r="E930" s="13" t="n">
        <v>0.99929</v>
      </c>
      <c r="F930" s="16" t="n">
        <f aca="false">IF(H930=1,"",D930/E930)</f>
        <v>0.134175264437751</v>
      </c>
      <c r="G930" s="17" t="n">
        <f aca="false">IF(H930=1,"",D930/E930*Notas!$B$3)</f>
        <v>12.7466501215863</v>
      </c>
      <c r="H930" s="13" t="n">
        <v>0</v>
      </c>
      <c r="I930" s="17" t="n">
        <f aca="false">IF(H930=1,D930,G930)</f>
        <v>12.7466501215863</v>
      </c>
    </row>
    <row r="931" customFormat="false" ht="15" hidden="false" customHeight="false" outlineLevel="0" collapsed="false">
      <c r="A931" s="13" t="s">
        <v>242</v>
      </c>
      <c r="B931" s="13" t="s">
        <v>102</v>
      </c>
      <c r="C931" s="13" t="s">
        <v>111</v>
      </c>
      <c r="D931" s="15" t="n">
        <v>0.47106</v>
      </c>
      <c r="E931" s="13" t="n">
        <v>0.99929</v>
      </c>
      <c r="F931" s="16" t="n">
        <f aca="false">IF(H931=1,"",D931/E931)</f>
        <v>0.471394690230063</v>
      </c>
      <c r="G931" s="17" t="n">
        <f aca="false">IF(H931=1,"",D931/E931*Notas!$B$3)</f>
        <v>44.782495571856</v>
      </c>
      <c r="H931" s="13" t="n">
        <v>0</v>
      </c>
      <c r="I931" s="17" t="n">
        <f aca="false">IF(H931=1,D931,G931)</f>
        <v>44.782495571856</v>
      </c>
    </row>
    <row r="932" customFormat="false" ht="15" hidden="false" customHeight="false" outlineLevel="0" collapsed="false">
      <c r="A932" s="13" t="s">
        <v>242</v>
      </c>
      <c r="B932" s="13" t="s">
        <v>102</v>
      </c>
      <c r="C932" s="13" t="s">
        <v>112</v>
      </c>
      <c r="D932" s="15" t="n">
        <v>0.11431</v>
      </c>
      <c r="E932" s="13" t="n">
        <v>0.99929</v>
      </c>
      <c r="F932" s="16" t="n">
        <f aca="false">IF(H932=1,"",D932/E932)</f>
        <v>0.114391217764613</v>
      </c>
      <c r="G932" s="17" t="n">
        <f aca="false">IF(H932=1,"",D932/E932*Notas!$B$3)</f>
        <v>10.8671656876382</v>
      </c>
      <c r="H932" s="13" t="n">
        <v>0</v>
      </c>
      <c r="I932" s="17" t="n">
        <f aca="false">IF(H932=1,D932,G932)</f>
        <v>10.8671656876382</v>
      </c>
    </row>
    <row r="933" customFormat="false" ht="15" hidden="false" customHeight="false" outlineLevel="0" collapsed="false">
      <c r="A933" s="13" t="s">
        <v>242</v>
      </c>
      <c r="B933" s="13" t="s">
        <v>17</v>
      </c>
      <c r="C933" s="13" t="s">
        <v>113</v>
      </c>
      <c r="D933" s="15" t="n">
        <v>0</v>
      </c>
      <c r="E933" s="13" t="n">
        <v>0.99929</v>
      </c>
      <c r="F933" s="16" t="str">
        <f aca="false">IF(H933=1,"",D933/E933)</f>
        <v/>
      </c>
      <c r="G933" s="17" t="str">
        <f aca="false">IF(H933=1,"",D933/E933*Notas!$B$3)</f>
        <v/>
      </c>
      <c r="H933" s="13" t="n">
        <v>1</v>
      </c>
      <c r="I933" s="17" t="n">
        <f aca="false">IF(H933=1,D933,G933)</f>
        <v>0</v>
      </c>
    </row>
    <row r="934" customFormat="false" ht="15" hidden="false" customHeight="false" outlineLevel="0" collapsed="false">
      <c r="A934" s="13" t="s">
        <v>242</v>
      </c>
      <c r="B934" s="13" t="s">
        <v>114</v>
      </c>
      <c r="C934" s="13" t="s">
        <v>115</v>
      </c>
      <c r="D934" s="15" t="n">
        <v>0.44148</v>
      </c>
      <c r="E934" s="13" t="n">
        <v>0.99929</v>
      </c>
      <c r="F934" s="16" t="n">
        <f aca="false">IF(H934=1,"",D934/E934)</f>
        <v>0.441793673508191</v>
      </c>
      <c r="G934" s="17" t="n">
        <f aca="false">IF(H934=1,"",D934/E934*Notas!$B$3)</f>
        <v>41.9703989832781</v>
      </c>
      <c r="H934" s="13" t="n">
        <v>0</v>
      </c>
      <c r="I934" s="17" t="n">
        <f aca="false">IF(H934=1,D934,G934)</f>
        <v>41.9703989832781</v>
      </c>
    </row>
    <row r="935" customFormat="false" ht="15" hidden="false" customHeight="false" outlineLevel="0" collapsed="false">
      <c r="A935" s="13" t="s">
        <v>242</v>
      </c>
      <c r="B935" s="13" t="s">
        <v>114</v>
      </c>
      <c r="C935" s="13" t="s">
        <v>116</v>
      </c>
      <c r="D935" s="15" t="n">
        <v>0.38724</v>
      </c>
      <c r="E935" s="13" t="n">
        <v>0.99929</v>
      </c>
      <c r="F935" s="16" t="n">
        <f aca="false">IF(H935=1,"",D935/E935)</f>
        <v>0.38751513574638</v>
      </c>
      <c r="G935" s="17" t="n">
        <f aca="false">IF(H935=1,"",D935/E935*Notas!$B$3)</f>
        <v>36.8139378959061</v>
      </c>
      <c r="H935" s="13" t="n">
        <v>0</v>
      </c>
      <c r="I935" s="17" t="n">
        <f aca="false">IF(H935=1,D935,G935)</f>
        <v>36.8139378959061</v>
      </c>
    </row>
    <row r="936" customFormat="false" ht="15" hidden="false" customHeight="false" outlineLevel="0" collapsed="false">
      <c r="A936" s="13" t="s">
        <v>242</v>
      </c>
      <c r="B936" s="13" t="s">
        <v>114</v>
      </c>
      <c r="C936" s="13" t="s">
        <v>117</v>
      </c>
      <c r="D936" s="15" t="n">
        <v>0.2116</v>
      </c>
      <c r="E936" s="13" t="n">
        <v>0.99929</v>
      </c>
      <c r="F936" s="16" t="n">
        <f aca="false">IF(H936=1,"",D936/E936)</f>
        <v>0.211750342743348</v>
      </c>
      <c r="G936" s="17" t="n">
        <f aca="false">IF(H936=1,"",D936/E936*Notas!$B$3)</f>
        <v>20.116282560618</v>
      </c>
      <c r="H936" s="13" t="n">
        <v>0</v>
      </c>
      <c r="I936" s="17" t="n">
        <f aca="false">IF(H936=1,D936,G936)</f>
        <v>20.116282560618</v>
      </c>
    </row>
    <row r="937" customFormat="false" ht="15" hidden="false" customHeight="false" outlineLevel="0" collapsed="false">
      <c r="A937" s="13" t="s">
        <v>242</v>
      </c>
      <c r="B937" s="13" t="s">
        <v>114</v>
      </c>
      <c r="C937" s="13" t="s">
        <v>118</v>
      </c>
      <c r="D937" s="15" t="n">
        <v>1.04364</v>
      </c>
      <c r="E937" s="13" t="n">
        <v>0.99929</v>
      </c>
      <c r="F937" s="16" t="n">
        <f aca="false">IF(H937=1,"",D937/E937)</f>
        <v>1.04438151087272</v>
      </c>
      <c r="G937" s="17" t="n">
        <f aca="false">IF(H937=1,"",D937/E937*Notas!$B$3)</f>
        <v>99.2162435329084</v>
      </c>
      <c r="H937" s="13" t="n">
        <v>0</v>
      </c>
      <c r="I937" s="17" t="n">
        <f aca="false">IF(H937=1,D937,G937)</f>
        <v>99.2162435329084</v>
      </c>
    </row>
    <row r="938" customFormat="false" ht="15" hidden="false" customHeight="false" outlineLevel="0" collapsed="false">
      <c r="A938" s="13" t="s">
        <v>242</v>
      </c>
      <c r="B938" s="13" t="s">
        <v>114</v>
      </c>
      <c r="C938" s="13" t="s">
        <v>119</v>
      </c>
      <c r="D938" s="15" t="n">
        <v>0.38724</v>
      </c>
      <c r="E938" s="13" t="n">
        <v>0.99929</v>
      </c>
      <c r="F938" s="16" t="n">
        <f aca="false">IF(H938=1,"",D938/E938)</f>
        <v>0.38751513574638</v>
      </c>
      <c r="G938" s="17" t="n">
        <f aca="false">IF(H938=1,"",D938/E938*Notas!$B$3)</f>
        <v>36.8139378959061</v>
      </c>
      <c r="H938" s="13" t="n">
        <v>0</v>
      </c>
      <c r="I938" s="17" t="n">
        <f aca="false">IF(H938=1,D938,G938)</f>
        <v>36.8139378959061</v>
      </c>
    </row>
    <row r="939" customFormat="false" ht="15" hidden="false" customHeight="false" outlineLevel="0" collapsed="false">
      <c r="A939" s="13" t="s">
        <v>242</v>
      </c>
      <c r="B939" s="13" t="s">
        <v>114</v>
      </c>
      <c r="C939" s="13" t="s">
        <v>120</v>
      </c>
      <c r="D939" s="15" t="n">
        <v>1</v>
      </c>
      <c r="E939" s="13" t="n">
        <v>0.99929</v>
      </c>
      <c r="F939" s="16" t="str">
        <f aca="false">IF(H939=1,"",D939/E939)</f>
        <v/>
      </c>
      <c r="G939" s="17" t="str">
        <f aca="false">IF(H939=1,"",D939/E939*Notas!$B$3)</f>
        <v/>
      </c>
      <c r="H939" s="13" t="n">
        <v>1</v>
      </c>
      <c r="I939" s="17" t="n">
        <f aca="false">IF(H939=1,D939,G939)</f>
        <v>1</v>
      </c>
    </row>
    <row r="940" customFormat="false" ht="15" hidden="false" customHeight="false" outlineLevel="0" collapsed="false">
      <c r="A940" s="13" t="s">
        <v>242</v>
      </c>
      <c r="B940" s="13" t="s">
        <v>114</v>
      </c>
      <c r="C940" s="13" t="s">
        <v>121</v>
      </c>
      <c r="D940" s="15" t="n">
        <v>0.28979</v>
      </c>
      <c r="E940" s="13" t="n">
        <v>0.99929</v>
      </c>
      <c r="F940" s="16" t="n">
        <f aca="false">IF(H940=1,"",D940/E940)</f>
        <v>0.289995897086932</v>
      </c>
      <c r="G940" s="17" t="n">
        <f aca="false">IF(H940=1,"",D940/E940*Notas!$B$3)</f>
        <v>27.5496102232585</v>
      </c>
      <c r="H940" s="13" t="n">
        <v>0</v>
      </c>
      <c r="I940" s="17" t="n">
        <f aca="false">IF(H940=1,D940,G940)</f>
        <v>27.5496102232585</v>
      </c>
    </row>
    <row r="941" customFormat="false" ht="15" hidden="false" customHeight="false" outlineLevel="0" collapsed="false">
      <c r="A941" s="13" t="s">
        <v>242</v>
      </c>
      <c r="B941" s="13" t="s">
        <v>114</v>
      </c>
      <c r="C941" s="13" t="s">
        <v>122</v>
      </c>
      <c r="D941" s="15" t="n">
        <v>0.42094</v>
      </c>
      <c r="E941" s="13" t="n">
        <v>0.99929</v>
      </c>
      <c r="F941" s="16" t="n">
        <f aca="false">IF(H941=1,"",D941/E941)</f>
        <v>0.42123907974662</v>
      </c>
      <c r="G941" s="17" t="n">
        <f aca="false">IF(H941=1,"",D941/E941*Notas!$B$3)</f>
        <v>40.0177125759289</v>
      </c>
      <c r="H941" s="13" t="n">
        <v>0</v>
      </c>
      <c r="I941" s="17" t="n">
        <f aca="false">IF(H941=1,D941,G941)</f>
        <v>40.0177125759289</v>
      </c>
    </row>
    <row r="942" customFormat="false" ht="15" hidden="false" customHeight="false" outlineLevel="0" collapsed="false">
      <c r="A942" s="13" t="s">
        <v>242</v>
      </c>
      <c r="B942" s="13" t="s">
        <v>114</v>
      </c>
      <c r="C942" s="13" t="s">
        <v>123</v>
      </c>
      <c r="D942" s="15" t="n">
        <v>0.19634</v>
      </c>
      <c r="E942" s="13" t="n">
        <v>0.99929</v>
      </c>
      <c r="F942" s="16" t="n">
        <f aca="false">IF(H942=1,"",D942/E942)</f>
        <v>0.196479500445316</v>
      </c>
      <c r="G942" s="17" t="n">
        <f aca="false">IF(H942=1,"",D942/E942*Notas!$B$3)</f>
        <v>18.665552542305</v>
      </c>
      <c r="H942" s="13" t="n">
        <v>0</v>
      </c>
      <c r="I942" s="17" t="n">
        <f aca="false">IF(H942=1,D942,G942)</f>
        <v>18.665552542305</v>
      </c>
    </row>
    <row r="943" customFormat="false" ht="15" hidden="false" customHeight="false" outlineLevel="0" collapsed="false">
      <c r="A943" s="13" t="s">
        <v>242</v>
      </c>
      <c r="B943" s="13" t="s">
        <v>114</v>
      </c>
      <c r="C943" s="13" t="s">
        <v>124</v>
      </c>
      <c r="D943" s="15" t="n">
        <v>1.14649</v>
      </c>
      <c r="E943" s="13" t="n">
        <v>0.99929</v>
      </c>
      <c r="F943" s="16" t="n">
        <f aca="false">IF(H943=1,"",D943/E943)</f>
        <v>1.14730458625624</v>
      </c>
      <c r="G943" s="17" t="n">
        <f aca="false">IF(H943=1,"",D943/E943*Notas!$B$3)</f>
        <v>108.993935694343</v>
      </c>
      <c r="H943" s="13" t="n">
        <v>0</v>
      </c>
      <c r="I943" s="17" t="n">
        <f aca="false">IF(H943=1,D943,G943)</f>
        <v>108.993935694343</v>
      </c>
    </row>
    <row r="944" customFormat="false" ht="15" hidden="false" customHeight="false" outlineLevel="0" collapsed="false">
      <c r="A944" s="13" t="s">
        <v>242</v>
      </c>
      <c r="B944" s="13" t="s">
        <v>114</v>
      </c>
      <c r="C944" s="13" t="s">
        <v>125</v>
      </c>
      <c r="D944" s="15" t="n">
        <v>0.43298</v>
      </c>
      <c r="E944" s="13" t="n">
        <v>0.99929</v>
      </c>
      <c r="F944" s="16" t="n">
        <f aca="false">IF(H944=1,"",D944/E944)</f>
        <v>0.433287634220296</v>
      </c>
      <c r="G944" s="17" t="n">
        <f aca="false">IF(H944=1,"",D944/E944*Notas!$B$3)</f>
        <v>41.1623252509282</v>
      </c>
      <c r="H944" s="13" t="n">
        <v>0</v>
      </c>
      <c r="I944" s="17" t="n">
        <f aca="false">IF(H944=1,D944,G944)</f>
        <v>41.1623252509282</v>
      </c>
    </row>
    <row r="945" customFormat="false" ht="15" hidden="false" customHeight="false" outlineLevel="0" collapsed="false">
      <c r="A945" s="13" t="s">
        <v>242</v>
      </c>
      <c r="B945" s="13" t="s">
        <v>114</v>
      </c>
      <c r="C945" s="13" t="s">
        <v>126</v>
      </c>
      <c r="D945" s="15" t="n">
        <v>2</v>
      </c>
      <c r="E945" s="13" t="n">
        <v>0.99929</v>
      </c>
      <c r="F945" s="16" t="str">
        <f aca="false">IF(H945=1,"",D945/E945)</f>
        <v/>
      </c>
      <c r="G945" s="17" t="str">
        <f aca="false">IF(H945=1,"",D945/E945*Notas!$B$3)</f>
        <v/>
      </c>
      <c r="H945" s="13" t="n">
        <v>1</v>
      </c>
      <c r="I945" s="17" t="n">
        <f aca="false">IF(H945=1,D945,G945)</f>
        <v>2</v>
      </c>
    </row>
    <row r="946" customFormat="false" ht="15" hidden="false" customHeight="false" outlineLevel="0" collapsed="false">
      <c r="A946" s="13" t="s">
        <v>242</v>
      </c>
      <c r="B946" s="13" t="s">
        <v>114</v>
      </c>
      <c r="C946" s="13" t="s">
        <v>127</v>
      </c>
      <c r="D946" s="15" t="n">
        <v>0.22932</v>
      </c>
      <c r="E946" s="13" t="n">
        <v>0.99929</v>
      </c>
      <c r="F946" s="16" t="n">
        <f aca="false">IF(H946=1,"",D946/E946)</f>
        <v>0.229482932882346</v>
      </c>
      <c r="G946" s="17" t="n">
        <f aca="false">IF(H946=1,"",D946/E946*Notas!$B$3)</f>
        <v>21.8008786238229</v>
      </c>
      <c r="H946" s="13" t="n">
        <v>0</v>
      </c>
      <c r="I946" s="17" t="n">
        <f aca="false">IF(H946=1,D946,G946)</f>
        <v>21.8008786238229</v>
      </c>
    </row>
    <row r="947" customFormat="false" ht="15" hidden="false" customHeight="false" outlineLevel="0" collapsed="false">
      <c r="A947" s="13" t="s">
        <v>242</v>
      </c>
      <c r="B947" s="13" t="s">
        <v>114</v>
      </c>
      <c r="C947" s="13" t="s">
        <v>128</v>
      </c>
      <c r="D947" s="15" t="n">
        <v>0.34719</v>
      </c>
      <c r="E947" s="13" t="n">
        <v>0.99929</v>
      </c>
      <c r="F947" s="16" t="n">
        <f aca="false">IF(H947=1,"",D947/E947)</f>
        <v>0.34743668004283</v>
      </c>
      <c r="G947" s="17" t="n">
        <f aca="false">IF(H947=1,"",D947/E947*Notas!$B$3)</f>
        <v>33.0064846040689</v>
      </c>
      <c r="H947" s="13" t="n">
        <v>0</v>
      </c>
      <c r="I947" s="17" t="n">
        <f aca="false">IF(H947=1,D947,G947)</f>
        <v>33.0064846040689</v>
      </c>
    </row>
    <row r="948" customFormat="false" ht="15" hidden="false" customHeight="false" outlineLevel="0" collapsed="false">
      <c r="A948" s="13" t="s">
        <v>242</v>
      </c>
      <c r="B948" s="13" t="s">
        <v>114</v>
      </c>
      <c r="C948" s="13" t="s">
        <v>129</v>
      </c>
      <c r="D948" s="15" t="n">
        <v>0.17437</v>
      </c>
      <c r="E948" s="13" t="n">
        <v>0.99929</v>
      </c>
      <c r="F948" s="16" t="n">
        <f aca="false">IF(H948=1,"",D948/E948)</f>
        <v>0.17449389066237</v>
      </c>
      <c r="G948" s="17" t="n">
        <f aca="false">IF(H948=1,"",D948/E948*Notas!$B$3)</f>
        <v>16.5769196129252</v>
      </c>
      <c r="H948" s="13" t="n">
        <v>0</v>
      </c>
      <c r="I948" s="17" t="n">
        <f aca="false">IF(H948=1,D948,G948)</f>
        <v>16.5769196129252</v>
      </c>
    </row>
    <row r="949" customFormat="false" ht="15" hidden="false" customHeight="false" outlineLevel="0" collapsed="false">
      <c r="A949" s="13" t="s">
        <v>242</v>
      </c>
      <c r="B949" s="13" t="s">
        <v>114</v>
      </c>
      <c r="C949" s="13" t="s">
        <v>130</v>
      </c>
      <c r="D949" s="15" t="n">
        <v>0.92427</v>
      </c>
      <c r="E949" s="13" t="n">
        <v>0.99929</v>
      </c>
      <c r="F949" s="16" t="n">
        <f aca="false">IF(H949=1,"",D949/E949)</f>
        <v>0.924926697955549</v>
      </c>
      <c r="G949" s="17" t="n">
        <f aca="false">IF(H949=1,"",D949/E949*Notas!$B$3)</f>
        <v>87.8680363057771</v>
      </c>
      <c r="H949" s="13" t="n">
        <v>0</v>
      </c>
      <c r="I949" s="17" t="n">
        <f aca="false">IF(H949=1,D949,G949)</f>
        <v>87.8680363057771</v>
      </c>
    </row>
    <row r="950" customFormat="false" ht="15" hidden="false" customHeight="false" outlineLevel="0" collapsed="false">
      <c r="A950" s="13" t="s">
        <v>242</v>
      </c>
      <c r="B950" s="13" t="s">
        <v>114</v>
      </c>
      <c r="C950" s="13" t="s">
        <v>131</v>
      </c>
      <c r="D950" s="15" t="n">
        <v>0.34719</v>
      </c>
      <c r="E950" s="13" t="n">
        <v>0.99929</v>
      </c>
      <c r="F950" s="16" t="n">
        <f aca="false">IF(H950=1,"",D950/E950)</f>
        <v>0.34743668004283</v>
      </c>
      <c r="G950" s="17" t="n">
        <f aca="false">IF(H950=1,"",D950/E950*Notas!$B$3)</f>
        <v>33.0064846040689</v>
      </c>
      <c r="H950" s="13" t="n">
        <v>0</v>
      </c>
      <c r="I950" s="17" t="n">
        <f aca="false">IF(H950=1,D950,G950)</f>
        <v>33.0064846040689</v>
      </c>
    </row>
    <row r="951" customFormat="false" ht="15" hidden="false" customHeight="false" outlineLevel="0" collapsed="false">
      <c r="A951" s="13" t="s">
        <v>242</v>
      </c>
      <c r="B951" s="13" t="s">
        <v>114</v>
      </c>
      <c r="C951" s="13" t="s">
        <v>132</v>
      </c>
      <c r="D951" s="15" t="n">
        <v>1</v>
      </c>
      <c r="E951" s="13" t="n">
        <v>0.99929</v>
      </c>
      <c r="F951" s="16" t="str">
        <f aca="false">IF(H951=1,"",D951/E951)</f>
        <v/>
      </c>
      <c r="G951" s="17" t="str">
        <f aca="false">IF(H951=1,"",D951/E951*Notas!$B$3)</f>
        <v/>
      </c>
      <c r="H951" s="13" t="n">
        <v>1</v>
      </c>
      <c r="I951" s="17" t="n">
        <f aca="false">IF(H951=1,D951,G951)</f>
        <v>1</v>
      </c>
    </row>
    <row r="952" customFormat="false" ht="15" hidden="false" customHeight="false" outlineLevel="0" collapsed="false">
      <c r="A952" s="13" t="s">
        <v>242</v>
      </c>
      <c r="B952" s="13" t="s">
        <v>114</v>
      </c>
      <c r="C952" s="13" t="s">
        <v>133</v>
      </c>
      <c r="D952" s="15" t="n">
        <v>0.49965</v>
      </c>
      <c r="E952" s="13" t="n">
        <v>0.99929</v>
      </c>
      <c r="F952" s="16" t="n">
        <f aca="false">IF(H952=1,"",D952/E952)</f>
        <v>0.500005003552522</v>
      </c>
      <c r="G952" s="17" t="n">
        <f aca="false">IF(H952=1,"",D952/E952*Notas!$B$3)</f>
        <v>47.5004753374896</v>
      </c>
      <c r="H952" s="13" t="n">
        <v>0</v>
      </c>
      <c r="I952" s="17" t="n">
        <f aca="false">IF(H952=1,D952,G952)</f>
        <v>47.5004753374896</v>
      </c>
    </row>
    <row r="953" customFormat="false" ht="15" hidden="false" customHeight="false" outlineLevel="0" collapsed="false">
      <c r="A953" s="13" t="s">
        <v>242</v>
      </c>
      <c r="B953" s="13" t="s">
        <v>114</v>
      </c>
      <c r="C953" s="13" t="s">
        <v>134</v>
      </c>
      <c r="D953" s="15" t="n">
        <v>0.29894</v>
      </c>
      <c r="E953" s="13" t="n">
        <v>0.99929</v>
      </c>
      <c r="F953" s="16" t="n">
        <f aca="false">IF(H953=1,"",D953/E953)</f>
        <v>0.299152398202724</v>
      </c>
      <c r="G953" s="17" t="n">
        <f aca="false">IF(H953=1,"",D953/E953*Notas!$B$3)</f>
        <v>28.4194778292588</v>
      </c>
      <c r="H953" s="13" t="n">
        <v>0</v>
      </c>
      <c r="I953" s="17" t="n">
        <f aca="false">IF(H953=1,D953,G953)</f>
        <v>28.4194778292588</v>
      </c>
    </row>
    <row r="954" customFormat="false" ht="15" hidden="false" customHeight="false" outlineLevel="0" collapsed="false">
      <c r="A954" s="13" t="s">
        <v>242</v>
      </c>
      <c r="B954" s="13" t="s">
        <v>114</v>
      </c>
      <c r="C954" s="13" t="s">
        <v>135</v>
      </c>
      <c r="D954" s="15" t="n">
        <v>0.13638</v>
      </c>
      <c r="E954" s="13" t="n">
        <v>0.99929</v>
      </c>
      <c r="F954" s="16" t="n">
        <f aca="false">IF(H954=1,"",D954/E954)</f>
        <v>0.136476898598005</v>
      </c>
      <c r="G954" s="17" t="n">
        <f aca="false">IF(H954=1,"",D954/E954*Notas!$B$3)</f>
        <v>12.9653053668104</v>
      </c>
      <c r="H954" s="13" t="n">
        <v>0</v>
      </c>
      <c r="I954" s="17" t="n">
        <f aca="false">IF(H954=1,D954,G954)</f>
        <v>12.9653053668104</v>
      </c>
    </row>
    <row r="955" customFormat="false" ht="15" hidden="false" customHeight="false" outlineLevel="0" collapsed="false">
      <c r="A955" s="13" t="s">
        <v>242</v>
      </c>
      <c r="B955" s="13" t="s">
        <v>114</v>
      </c>
      <c r="C955" s="13" t="s">
        <v>136</v>
      </c>
      <c r="D955" s="15" t="n">
        <v>0.79854</v>
      </c>
      <c r="E955" s="13" t="n">
        <v>0.99929</v>
      </c>
      <c r="F955" s="16" t="n">
        <f aca="false">IF(H955=1,"",D955/E955)</f>
        <v>0.799107366230023</v>
      </c>
      <c r="G955" s="17" t="n">
        <f aca="false">IF(H955=1,"",D955/E955*Notas!$B$3)</f>
        <v>75.9151997918522</v>
      </c>
      <c r="H955" s="13" t="n">
        <v>0</v>
      </c>
      <c r="I955" s="17" t="n">
        <f aca="false">IF(H955=1,D955,G955)</f>
        <v>75.9151997918522</v>
      </c>
    </row>
    <row r="956" customFormat="false" ht="15" hidden="false" customHeight="false" outlineLevel="0" collapsed="false">
      <c r="A956" s="13" t="s">
        <v>242</v>
      </c>
      <c r="B956" s="13" t="s">
        <v>114</v>
      </c>
      <c r="C956" s="13" t="s">
        <v>137</v>
      </c>
      <c r="D956" s="15" t="n">
        <v>0.29894</v>
      </c>
      <c r="E956" s="13" t="n">
        <v>0.99929</v>
      </c>
      <c r="F956" s="16" t="n">
        <f aca="false">IF(H956=1,"",D956/E956)</f>
        <v>0.299152398202724</v>
      </c>
      <c r="G956" s="17" t="n">
        <f aca="false">IF(H956=1,"",D956/E956*Notas!$B$3)</f>
        <v>28.4194778292588</v>
      </c>
      <c r="H956" s="13" t="n">
        <v>0</v>
      </c>
      <c r="I956" s="17" t="n">
        <f aca="false">IF(H956=1,D956,G956)</f>
        <v>28.4194778292588</v>
      </c>
    </row>
    <row r="957" customFormat="false" ht="15" hidden="false" customHeight="false" outlineLevel="0" collapsed="false">
      <c r="A957" s="13" t="s">
        <v>242</v>
      </c>
      <c r="B957" s="13" t="s">
        <v>114</v>
      </c>
      <c r="C957" s="13" t="s">
        <v>138</v>
      </c>
      <c r="D957" s="15" t="n">
        <v>1</v>
      </c>
      <c r="E957" s="13" t="n">
        <v>0.99929</v>
      </c>
      <c r="F957" s="16" t="str">
        <f aca="false">IF(H957=1,"",D957/E957)</f>
        <v/>
      </c>
      <c r="G957" s="17" t="str">
        <f aca="false">IF(H957=1,"",D957/E957*Notas!$B$3)</f>
        <v/>
      </c>
      <c r="H957" s="13" t="n">
        <v>1</v>
      </c>
      <c r="I957" s="17" t="n">
        <f aca="false">IF(H957=1,D957,G957)</f>
        <v>1</v>
      </c>
    </row>
    <row r="958" customFormat="false" ht="15" hidden="false" customHeight="false" outlineLevel="0" collapsed="false">
      <c r="A958" s="13" t="s">
        <v>242</v>
      </c>
      <c r="B958" s="13" t="s">
        <v>139</v>
      </c>
      <c r="C958" s="13" t="s">
        <v>182</v>
      </c>
      <c r="D958" s="15" t="n">
        <v>0.20923</v>
      </c>
      <c r="E958" s="13" t="n">
        <v>0.99929</v>
      </c>
      <c r="F958" s="16" t="n">
        <f aca="false">IF(H958=1,"",D958/E958)</f>
        <v>0.209378658847782</v>
      </c>
      <c r="G958" s="17" t="n">
        <f aca="false">IF(H958=1,"",D958/E958*Notas!$B$3)</f>
        <v>19.8909725905393</v>
      </c>
      <c r="H958" s="13" t="n">
        <v>0</v>
      </c>
      <c r="I958" s="17" t="n">
        <f aca="false">IF(H958=1,D958,G958)</f>
        <v>19.8909725905393</v>
      </c>
    </row>
    <row r="959" customFormat="false" ht="15" hidden="false" customHeight="false" outlineLevel="0" collapsed="false">
      <c r="A959" s="13" t="s">
        <v>242</v>
      </c>
      <c r="B959" s="13" t="s">
        <v>139</v>
      </c>
      <c r="C959" s="13" t="s">
        <v>183</v>
      </c>
      <c r="D959" s="15" t="n">
        <v>0.42342</v>
      </c>
      <c r="E959" s="13" t="n">
        <v>0.99929</v>
      </c>
      <c r="F959" s="16" t="n">
        <f aca="false">IF(H959=1,"",D959/E959)</f>
        <v>0.423720841797676</v>
      </c>
      <c r="G959" s="17" t="n">
        <f aca="false">IF(H959=1,"",D959/E959*Notas!$B$3)</f>
        <v>40.2534799707793</v>
      </c>
      <c r="H959" s="13" t="n">
        <v>0</v>
      </c>
      <c r="I959" s="17" t="n">
        <f aca="false">IF(H959=1,D959,G959)</f>
        <v>40.2534799707793</v>
      </c>
    </row>
    <row r="960" customFormat="false" ht="15" hidden="false" customHeight="false" outlineLevel="0" collapsed="false">
      <c r="A960" s="13" t="s">
        <v>242</v>
      </c>
      <c r="B960" s="13" t="s">
        <v>139</v>
      </c>
      <c r="C960" s="13" t="s">
        <v>184</v>
      </c>
      <c r="D960" s="15" t="n">
        <v>0.21419</v>
      </c>
      <c r="E960" s="13" t="n">
        <v>0.99929</v>
      </c>
      <c r="F960" s="16" t="n">
        <f aca="false">IF(H960=1,"",D960/E960)</f>
        <v>0.214342182949894</v>
      </c>
      <c r="G960" s="17" t="n">
        <f aca="false">IF(H960=1,"",D960/E960*Notas!$B$3)</f>
        <v>20.36250738024</v>
      </c>
      <c r="H960" s="13" t="n">
        <v>0</v>
      </c>
      <c r="I960" s="17" t="n">
        <f aca="false">IF(H960=1,D960,G960)</f>
        <v>20.36250738024</v>
      </c>
    </row>
    <row r="961" customFormat="false" ht="15" hidden="false" customHeight="false" outlineLevel="0" collapsed="false">
      <c r="A961" s="13" t="s">
        <v>242</v>
      </c>
      <c r="B961" s="13" t="s">
        <v>139</v>
      </c>
      <c r="C961" s="13" t="s">
        <v>185</v>
      </c>
      <c r="D961" s="15" t="n">
        <v>0.1381</v>
      </c>
      <c r="E961" s="13" t="n">
        <v>0.99929</v>
      </c>
      <c r="F961" s="16" t="n">
        <f aca="false">IF(H961=1,"",D961/E961)</f>
        <v>0.138198120665673</v>
      </c>
      <c r="G961" s="17" t="n">
        <f aca="false">IF(H961=1,"",D961/E961*Notas!$B$3)</f>
        <v>13.1288214632389</v>
      </c>
      <c r="H961" s="13" t="n">
        <v>0</v>
      </c>
      <c r="I961" s="17" t="n">
        <f aca="false">IF(H961=1,D961,G961)</f>
        <v>13.1288214632389</v>
      </c>
    </row>
    <row r="962" customFormat="false" ht="15" hidden="false" customHeight="false" outlineLevel="0" collapsed="false">
      <c r="A962" s="13" t="s">
        <v>242</v>
      </c>
      <c r="B962" s="13" t="s">
        <v>139</v>
      </c>
      <c r="C962" s="13" t="s">
        <v>186</v>
      </c>
      <c r="D962" s="15" t="n">
        <v>0.17377</v>
      </c>
      <c r="E962" s="13" t="n">
        <v>0.99929</v>
      </c>
      <c r="F962" s="16" t="n">
        <f aca="false">IF(H962=1,"",D962/E962)</f>
        <v>0.173893464359695</v>
      </c>
      <c r="G962" s="17" t="n">
        <f aca="false">IF(H962=1,"",D962/E962*Notas!$B$3)</f>
        <v>16.5198791141711</v>
      </c>
      <c r="H962" s="13" t="n">
        <v>0</v>
      </c>
      <c r="I962" s="17" t="n">
        <f aca="false">IF(H962=1,D962,G962)</f>
        <v>16.5198791141711</v>
      </c>
    </row>
    <row r="963" customFormat="false" ht="15" hidden="false" customHeight="false" outlineLevel="0" collapsed="false">
      <c r="A963" s="13" t="s">
        <v>242</v>
      </c>
      <c r="B963" s="13" t="s">
        <v>139</v>
      </c>
      <c r="C963" s="13" t="s">
        <v>187</v>
      </c>
      <c r="D963" s="15" t="n">
        <v>0.24512</v>
      </c>
      <c r="E963" s="13" t="n">
        <v>0.99929</v>
      </c>
      <c r="F963" s="16" t="n">
        <f aca="false">IF(H963=1,"",D963/E963)</f>
        <v>0.245294158852786</v>
      </c>
      <c r="G963" s="17" t="n">
        <f aca="false">IF(H963=1,"",D963/E963*Notas!$B$3)</f>
        <v>23.3029450910146</v>
      </c>
      <c r="H963" s="13" t="n">
        <v>0</v>
      </c>
      <c r="I963" s="17" t="n">
        <f aca="false">IF(H963=1,D963,G963)</f>
        <v>23.3029450910146</v>
      </c>
    </row>
    <row r="964" customFormat="false" ht="15" hidden="false" customHeight="false" outlineLevel="0" collapsed="false">
      <c r="A964" s="13" t="s">
        <v>242</v>
      </c>
      <c r="B964" s="13" t="s">
        <v>143</v>
      </c>
      <c r="C964" s="13" t="s">
        <v>188</v>
      </c>
      <c r="D964" s="15" t="n">
        <v>0.50576</v>
      </c>
      <c r="E964" s="13" t="n">
        <v>0.99929</v>
      </c>
      <c r="F964" s="16" t="n">
        <f aca="false">IF(H964=1,"",D964/E964)</f>
        <v>0.506119344734762</v>
      </c>
      <c r="G964" s="17" t="n">
        <f aca="false">IF(H964=1,"",D964/E964*Notas!$B$3)</f>
        <v>48.0813377498024</v>
      </c>
      <c r="H964" s="13" t="n">
        <v>0</v>
      </c>
      <c r="I964" s="17" t="n">
        <f aca="false">IF(H964=1,D964,G964)</f>
        <v>48.0813377498024</v>
      </c>
    </row>
    <row r="965" customFormat="false" ht="15" hidden="false" customHeight="false" outlineLevel="0" collapsed="false">
      <c r="A965" s="13" t="s">
        <v>242</v>
      </c>
      <c r="B965" s="13" t="s">
        <v>143</v>
      </c>
      <c r="C965" s="13" t="s">
        <v>189</v>
      </c>
      <c r="D965" s="15" t="n">
        <v>0.28932</v>
      </c>
      <c r="E965" s="13" t="n">
        <v>0.99929</v>
      </c>
      <c r="F965" s="16" t="n">
        <f aca="false">IF(H965=1,"",D965/E965)</f>
        <v>0.289525563149836</v>
      </c>
      <c r="G965" s="17" t="n">
        <f aca="false">IF(H965=1,"",D965/E965*Notas!$B$3)</f>
        <v>27.5049284992345</v>
      </c>
      <c r="H965" s="13" t="n">
        <v>0</v>
      </c>
      <c r="I965" s="17" t="n">
        <f aca="false">IF(H965=1,D965,G965)</f>
        <v>27.5049284992345</v>
      </c>
    </row>
    <row r="966" customFormat="false" ht="15" hidden="false" customHeight="false" outlineLevel="0" collapsed="false">
      <c r="A966" s="13" t="s">
        <v>242</v>
      </c>
      <c r="B966" s="13" t="s">
        <v>143</v>
      </c>
      <c r="C966" s="13" t="s">
        <v>190</v>
      </c>
      <c r="D966" s="15" t="n">
        <v>0.21643</v>
      </c>
      <c r="E966" s="13" t="n">
        <v>0.99929</v>
      </c>
      <c r="F966" s="16" t="n">
        <f aca="false">IF(H966=1,"",D966/E966)</f>
        <v>0.216583774479881</v>
      </c>
      <c r="G966" s="17" t="n">
        <f aca="false">IF(H966=1,"",D966/E966*Notas!$B$3)</f>
        <v>20.5754585755887</v>
      </c>
      <c r="H966" s="13" t="n">
        <v>0</v>
      </c>
      <c r="I966" s="17" t="n">
        <f aca="false">IF(H966=1,D966,G966)</f>
        <v>20.5754585755887</v>
      </c>
    </row>
    <row r="967" customFormat="false" ht="15" hidden="false" customHeight="false" outlineLevel="0" collapsed="false">
      <c r="A967" s="13" t="s">
        <v>242</v>
      </c>
      <c r="B967" s="13" t="s">
        <v>143</v>
      </c>
      <c r="C967" s="13" t="s">
        <v>191</v>
      </c>
      <c r="D967" s="15" t="n">
        <v>0.14938</v>
      </c>
      <c r="E967" s="13" t="n">
        <v>0.99929</v>
      </c>
      <c r="F967" s="16" t="n">
        <f aca="false">IF(H967=1,"",D967/E967)</f>
        <v>0.149486135155961</v>
      </c>
      <c r="G967" s="17" t="n">
        <f aca="false">IF(H967=1,"",D967/E967*Notas!$B$3)</f>
        <v>14.2011828398163</v>
      </c>
      <c r="H967" s="13" t="n">
        <v>0</v>
      </c>
      <c r="I967" s="17" t="n">
        <f aca="false">IF(H967=1,D967,G967)</f>
        <v>14.2011828398163</v>
      </c>
    </row>
    <row r="968" customFormat="false" ht="15" hidden="false" customHeight="false" outlineLevel="0" collapsed="false">
      <c r="A968" s="13" t="s">
        <v>242</v>
      </c>
      <c r="B968" s="13" t="s">
        <v>143</v>
      </c>
      <c r="C968" s="13" t="s">
        <v>192</v>
      </c>
      <c r="D968" s="15" t="n">
        <v>0.15754</v>
      </c>
      <c r="E968" s="13" t="n">
        <v>0.99929</v>
      </c>
      <c r="F968" s="16" t="n">
        <f aca="false">IF(H968=1,"",D968/E968)</f>
        <v>0.157651932872339</v>
      </c>
      <c r="G968" s="17" t="n">
        <f aca="false">IF(H968=1,"",D968/E968*Notas!$B$3)</f>
        <v>14.9769336228722</v>
      </c>
      <c r="H968" s="13" t="n">
        <v>0</v>
      </c>
      <c r="I968" s="17" t="n">
        <f aca="false">IF(H968=1,D968,G968)</f>
        <v>14.9769336228722</v>
      </c>
    </row>
    <row r="969" customFormat="false" ht="15" hidden="false" customHeight="false" outlineLevel="0" collapsed="false">
      <c r="A969" s="13" t="s">
        <v>242</v>
      </c>
      <c r="B969" s="13" t="s">
        <v>143</v>
      </c>
      <c r="C969" s="13" t="s">
        <v>193</v>
      </c>
      <c r="D969" s="15" t="n">
        <v>0.29653</v>
      </c>
      <c r="E969" s="13" t="n">
        <v>0.99929</v>
      </c>
      <c r="F969" s="16" t="n">
        <f aca="false">IF(H969=1,"",D969/E969)</f>
        <v>0.29674068588698</v>
      </c>
      <c r="G969" s="17" t="n">
        <f aca="false">IF(H969=1,"",D969/E969*Notas!$B$3)</f>
        <v>28.1903651592631</v>
      </c>
      <c r="H969" s="13" t="n">
        <v>0</v>
      </c>
      <c r="I969" s="17" t="n">
        <f aca="false">IF(H969=1,D969,G969)</f>
        <v>28.1903651592631</v>
      </c>
    </row>
    <row r="970" customFormat="false" ht="15" hidden="false" customHeight="false" outlineLevel="0" collapsed="false">
      <c r="A970" s="13" t="s">
        <v>242</v>
      </c>
      <c r="B970" s="13" t="s">
        <v>139</v>
      </c>
      <c r="C970" s="13" t="s">
        <v>194</v>
      </c>
      <c r="D970" s="15" t="n">
        <v>0.23609</v>
      </c>
      <c r="E970" s="13" t="n">
        <v>0.99929</v>
      </c>
      <c r="F970" s="16" t="n">
        <f aca="false">IF(H970=1,"",D970/E970)</f>
        <v>0.236257742997528</v>
      </c>
      <c r="G970" s="17" t="n">
        <f aca="false">IF(H970=1,"",D970/E970*Notas!$B$3)</f>
        <v>22.4444855847652</v>
      </c>
      <c r="H970" s="13" t="n">
        <v>0</v>
      </c>
      <c r="I970" s="17" t="n">
        <f aca="false">IF(H970=1,D970,G970)</f>
        <v>22.4444855847652</v>
      </c>
    </row>
    <row r="971" customFormat="false" ht="15" hidden="false" customHeight="false" outlineLevel="0" collapsed="false">
      <c r="A971" s="13" t="s">
        <v>242</v>
      </c>
      <c r="B971" s="13" t="s">
        <v>139</v>
      </c>
      <c r="C971" s="13" t="s">
        <v>195</v>
      </c>
      <c r="D971" s="15" t="n">
        <v>0.41633</v>
      </c>
      <c r="E971" s="13" t="n">
        <v>0.99929</v>
      </c>
      <c r="F971" s="16" t="n">
        <f aca="false">IF(H971=1,"",D971/E971)</f>
        <v>0.416625804321068</v>
      </c>
      <c r="G971" s="17" t="n">
        <f aca="false">IF(H971=1,"",D971/E971*Notas!$B$3)</f>
        <v>39.5794514105015</v>
      </c>
      <c r="H971" s="13" t="n">
        <v>0</v>
      </c>
      <c r="I971" s="17" t="n">
        <f aca="false">IF(H971=1,D971,G971)</f>
        <v>39.5794514105015</v>
      </c>
    </row>
    <row r="972" customFormat="false" ht="15" hidden="false" customHeight="false" outlineLevel="0" collapsed="false">
      <c r="A972" s="13" t="s">
        <v>242</v>
      </c>
      <c r="B972" s="13" t="s">
        <v>139</v>
      </c>
      <c r="C972" s="13" t="s">
        <v>196</v>
      </c>
      <c r="D972" s="15" t="n">
        <v>0.18024</v>
      </c>
      <c r="E972" s="13" t="n">
        <v>0.99929</v>
      </c>
      <c r="F972" s="16" t="n">
        <f aca="false">IF(H972=1,"",D972/E972)</f>
        <v>0.18036806132354</v>
      </c>
      <c r="G972" s="17" t="n">
        <f aca="false">IF(H972=1,"",D972/E972*Notas!$B$3)</f>
        <v>17.1349658257363</v>
      </c>
      <c r="H972" s="13" t="n">
        <v>0</v>
      </c>
      <c r="I972" s="17" t="n">
        <f aca="false">IF(H972=1,D972,G972)</f>
        <v>17.1349658257363</v>
      </c>
    </row>
    <row r="973" customFormat="false" ht="15" hidden="false" customHeight="false" outlineLevel="0" collapsed="false">
      <c r="A973" s="13" t="s">
        <v>242</v>
      </c>
      <c r="B973" s="13" t="s">
        <v>139</v>
      </c>
      <c r="C973" s="13" t="s">
        <v>197</v>
      </c>
      <c r="D973" s="15" t="n">
        <v>0.10664</v>
      </c>
      <c r="E973" s="13" t="n">
        <v>0.99929</v>
      </c>
      <c r="F973" s="16" t="n">
        <f aca="false">IF(H973=1,"",D973/E973)</f>
        <v>0.106715768195419</v>
      </c>
      <c r="G973" s="17" t="n">
        <f aca="false">IF(H973=1,"",D973/E973*Notas!$B$3)</f>
        <v>10.1379979785648</v>
      </c>
      <c r="H973" s="13" t="n">
        <v>0</v>
      </c>
      <c r="I973" s="17" t="n">
        <f aca="false">IF(H973=1,D973,G973)</f>
        <v>10.1379979785648</v>
      </c>
    </row>
    <row r="974" customFormat="false" ht="15" hidden="false" customHeight="false" outlineLevel="0" collapsed="false">
      <c r="A974" s="13" t="s">
        <v>242</v>
      </c>
      <c r="B974" s="13" t="s">
        <v>139</v>
      </c>
      <c r="C974" s="13" t="s">
        <v>198</v>
      </c>
      <c r="D974" s="15" t="n">
        <v>0.12368</v>
      </c>
      <c r="E974" s="13" t="n">
        <v>0.99929</v>
      </c>
      <c r="F974" s="16" t="n">
        <f aca="false">IF(H974=1,"",D974/E974)</f>
        <v>0.123767875191386</v>
      </c>
      <c r="G974" s="17" t="n">
        <f aca="false">IF(H974=1,"",D974/E974*Notas!$B$3)</f>
        <v>11.7579481431817</v>
      </c>
      <c r="H974" s="13" t="n">
        <v>0</v>
      </c>
      <c r="I974" s="17" t="n">
        <f aca="false">IF(H974=1,D974,G974)</f>
        <v>11.7579481431817</v>
      </c>
    </row>
    <row r="975" customFormat="false" ht="15" hidden="false" customHeight="false" outlineLevel="0" collapsed="false">
      <c r="A975" s="13" t="s">
        <v>242</v>
      </c>
      <c r="B975" s="13" t="s">
        <v>139</v>
      </c>
      <c r="C975" s="13" t="s">
        <v>199</v>
      </c>
      <c r="D975" s="15" t="n">
        <v>0.21438</v>
      </c>
      <c r="E975" s="13" t="n">
        <v>0.99929</v>
      </c>
      <c r="F975" s="16" t="n">
        <f aca="false">IF(H975=1,"",D975/E975)</f>
        <v>0.214532317945741</v>
      </c>
      <c r="G975" s="17" t="n">
        <f aca="false">IF(H975=1,"",D975/E975*Notas!$B$3)</f>
        <v>20.3805702048454</v>
      </c>
      <c r="H975" s="13" t="n">
        <v>0</v>
      </c>
      <c r="I975" s="17" t="n">
        <f aca="false">IF(H975=1,D975,G975)</f>
        <v>20.3805702048454</v>
      </c>
    </row>
    <row r="976" customFormat="false" ht="15" hidden="false" customHeight="false" outlineLevel="0" collapsed="false">
      <c r="A976" s="13" t="s">
        <v>242</v>
      </c>
      <c r="B976" s="13" t="s">
        <v>143</v>
      </c>
      <c r="C976" s="13" t="s">
        <v>200</v>
      </c>
      <c r="D976" s="15" t="n">
        <v>0.50597</v>
      </c>
      <c r="E976" s="13" t="n">
        <v>0.99929</v>
      </c>
      <c r="F976" s="16" t="n">
        <f aca="false">IF(H976=1,"",D976/E976)</f>
        <v>0.506329493940698</v>
      </c>
      <c r="G976" s="17" t="n">
        <f aca="false">IF(H976=1,"",D976/E976*Notas!$B$3)</f>
        <v>48.1013019243663</v>
      </c>
      <c r="H976" s="13" t="n">
        <v>0</v>
      </c>
      <c r="I976" s="17" t="n">
        <f aca="false">IF(H976=1,D976,G976)</f>
        <v>48.1013019243663</v>
      </c>
    </row>
    <row r="977" customFormat="false" ht="15" hidden="false" customHeight="false" outlineLevel="0" collapsed="false">
      <c r="A977" s="13" t="s">
        <v>242</v>
      </c>
      <c r="B977" s="13" t="s">
        <v>143</v>
      </c>
      <c r="C977" s="13" t="s">
        <v>201</v>
      </c>
      <c r="D977" s="15" t="n">
        <v>0.3066</v>
      </c>
      <c r="E977" s="13" t="n">
        <v>0.99929</v>
      </c>
      <c r="F977" s="16" t="n">
        <f aca="false">IF(H977=1,"",D977/E977)</f>
        <v>0.306817840666873</v>
      </c>
      <c r="G977" s="17" t="n">
        <f aca="false">IF(H977=1,"",D977/E977*Notas!$B$3)</f>
        <v>29.147694863353</v>
      </c>
      <c r="H977" s="13" t="n">
        <v>0</v>
      </c>
      <c r="I977" s="17" t="n">
        <f aca="false">IF(H977=1,D977,G977)</f>
        <v>29.147694863353</v>
      </c>
    </row>
    <row r="978" customFormat="false" ht="15" hidden="false" customHeight="false" outlineLevel="0" collapsed="false">
      <c r="A978" s="13" t="s">
        <v>242</v>
      </c>
      <c r="B978" s="13" t="s">
        <v>143</v>
      </c>
      <c r="C978" s="13" t="s">
        <v>202</v>
      </c>
      <c r="D978" s="15" t="n">
        <v>0.19938</v>
      </c>
      <c r="E978" s="13" t="n">
        <v>0.99929</v>
      </c>
      <c r="F978" s="16" t="n">
        <f aca="false">IF(H978=1,"",D978/E978)</f>
        <v>0.199521660378869</v>
      </c>
      <c r="G978" s="17" t="n">
        <f aca="false">IF(H978=1,"",D978/E978*Notas!$B$3)</f>
        <v>18.9545577359926</v>
      </c>
      <c r="H978" s="13" t="n">
        <v>0</v>
      </c>
      <c r="I978" s="17" t="n">
        <f aca="false">IF(H978=1,D978,G978)</f>
        <v>18.9545577359926</v>
      </c>
    </row>
    <row r="979" customFormat="false" ht="15" hidden="false" customHeight="false" outlineLevel="0" collapsed="false">
      <c r="A979" s="13" t="s">
        <v>242</v>
      </c>
      <c r="B979" s="13" t="s">
        <v>143</v>
      </c>
      <c r="C979" s="13" t="s">
        <v>203</v>
      </c>
      <c r="D979" s="15" t="n">
        <v>0.145</v>
      </c>
      <c r="E979" s="13" t="n">
        <v>0.99929</v>
      </c>
      <c r="F979" s="16" t="n">
        <f aca="false">IF(H979=1,"",D979/E979)</f>
        <v>0.145103023146434</v>
      </c>
      <c r="G979" s="17" t="n">
        <f aca="false">IF(H979=1,"",D979/E979*Notas!$B$3)</f>
        <v>13.7847871989112</v>
      </c>
      <c r="H979" s="13" t="n">
        <v>0</v>
      </c>
      <c r="I979" s="17" t="n">
        <f aca="false">IF(H979=1,D979,G979)</f>
        <v>13.7847871989112</v>
      </c>
    </row>
    <row r="980" customFormat="false" ht="15" hidden="false" customHeight="false" outlineLevel="0" collapsed="false">
      <c r="A980" s="13" t="s">
        <v>242</v>
      </c>
      <c r="B980" s="13" t="s">
        <v>143</v>
      </c>
      <c r="C980" s="13" t="s">
        <v>204</v>
      </c>
      <c r="D980" s="15" t="n">
        <v>0.15978</v>
      </c>
      <c r="E980" s="13" t="n">
        <v>0.99929</v>
      </c>
      <c r="F980" s="16" t="n">
        <f aca="false">IF(H980=1,"",D980/E980)</f>
        <v>0.159893524402326</v>
      </c>
      <c r="G980" s="17" t="n">
        <f aca="false">IF(H980=1,"",D980/E980*Notas!$B$3)</f>
        <v>15.1898848182209</v>
      </c>
      <c r="H980" s="13" t="n">
        <v>0</v>
      </c>
      <c r="I980" s="17" t="n">
        <f aca="false">IF(H980=1,D980,G980)</f>
        <v>15.1898848182209</v>
      </c>
    </row>
    <row r="981" customFormat="false" ht="15" hidden="false" customHeight="false" outlineLevel="0" collapsed="false">
      <c r="A981" s="13" t="s">
        <v>242</v>
      </c>
      <c r="B981" s="13" t="s">
        <v>143</v>
      </c>
      <c r="C981" s="13" t="s">
        <v>205</v>
      </c>
      <c r="D981" s="15" t="n">
        <v>0.26988</v>
      </c>
      <c r="E981" s="13" t="n">
        <v>0.99929</v>
      </c>
      <c r="F981" s="16" t="n">
        <f aca="false">IF(H981=1,"",D981/E981)</f>
        <v>0.27007175094317</v>
      </c>
      <c r="G981" s="17" t="n">
        <f aca="false">IF(H981=1,"",D981/E981*Notas!$B$3)</f>
        <v>25.6568163396011</v>
      </c>
      <c r="H981" s="13" t="n">
        <v>0</v>
      </c>
      <c r="I981" s="17" t="n">
        <f aca="false">IF(H981=1,D981,G981)</f>
        <v>25.6568163396011</v>
      </c>
    </row>
    <row r="982" customFormat="false" ht="15" hidden="false" customHeight="false" outlineLevel="0" collapsed="false">
      <c r="A982" s="13" t="s">
        <v>242</v>
      </c>
      <c r="B982" s="13" t="s">
        <v>114</v>
      </c>
      <c r="C982" s="13" t="s">
        <v>206</v>
      </c>
      <c r="D982" s="15" t="n">
        <v>0.35817</v>
      </c>
      <c r="E982" s="13" t="n">
        <v>0.99929</v>
      </c>
      <c r="F982" s="16" t="n">
        <f aca="false">IF(H982=1,"",D982/E982)</f>
        <v>0.358424481381781</v>
      </c>
      <c r="G982" s="17" t="n">
        <f aca="false">IF(H982=1,"",D982/E982*Notas!$B$3)</f>
        <v>34.0503257312692</v>
      </c>
      <c r="H982" s="13" t="n">
        <v>0</v>
      </c>
      <c r="I982" s="17" t="n">
        <f aca="false">IF(H982=1,D982,G982)</f>
        <v>34.0503257312692</v>
      </c>
    </row>
    <row r="983" customFormat="false" ht="15" hidden="false" customHeight="false" outlineLevel="0" collapsed="false">
      <c r="A983" s="13" t="s">
        <v>244</v>
      </c>
      <c r="B983" s="13" t="s">
        <v>17</v>
      </c>
      <c r="C983" s="13" t="s">
        <v>18</v>
      </c>
      <c r="D983" s="15" t="n">
        <v>0.99751</v>
      </c>
      <c r="E983" s="13" t="n">
        <v>0.99751</v>
      </c>
      <c r="F983" s="16" t="n">
        <f aca="false">IF(H983=1,"",D983/E983)</f>
        <v>1</v>
      </c>
      <c r="G983" s="17" t="n">
        <f aca="false">IF(H983=1,"",D983/E983*Notas!$B$3)</f>
        <v>95</v>
      </c>
      <c r="H983" s="13" t="n">
        <v>0</v>
      </c>
      <c r="I983" s="17" t="n">
        <f aca="false">IF(H983=1,D983,G983)</f>
        <v>95</v>
      </c>
    </row>
    <row r="984" customFormat="false" ht="15" hidden="false" customHeight="false" outlineLevel="0" collapsed="false">
      <c r="A984" s="13" t="s">
        <v>244</v>
      </c>
      <c r="B984" s="13" t="s">
        <v>17</v>
      </c>
      <c r="C984" s="13" t="s">
        <v>19</v>
      </c>
      <c r="D984" s="15" t="n">
        <v>0.51687</v>
      </c>
      <c r="E984" s="13" t="n">
        <v>0.99751</v>
      </c>
      <c r="F984" s="16" t="n">
        <f aca="false">IF(H984=1,"",D984/E984)</f>
        <v>0.518160218945174</v>
      </c>
      <c r="G984" s="17" t="n">
        <f aca="false">IF(H984=1,"",D984/E984*Notas!$B$3)</f>
        <v>49.2252207997915</v>
      </c>
      <c r="H984" s="13" t="n">
        <v>0</v>
      </c>
      <c r="I984" s="17" t="n">
        <f aca="false">IF(H984=1,D984,G984)</f>
        <v>49.2252207997915</v>
      </c>
    </row>
    <row r="985" customFormat="false" ht="15" hidden="false" customHeight="false" outlineLevel="0" collapsed="false">
      <c r="A985" s="13" t="s">
        <v>244</v>
      </c>
      <c r="B985" s="13" t="s">
        <v>17</v>
      </c>
      <c r="C985" s="13" t="s">
        <v>20</v>
      </c>
      <c r="D985" s="15" t="n">
        <v>0.40827</v>
      </c>
      <c r="E985" s="13" t="n">
        <v>0.99751</v>
      </c>
      <c r="F985" s="16" t="n">
        <f aca="false">IF(H985=1,"",D985/E985)</f>
        <v>0.409289129933535</v>
      </c>
      <c r="G985" s="17" t="n">
        <f aca="false">IF(H985=1,"",D985/E985*Notas!$B$3)</f>
        <v>38.8824673436858</v>
      </c>
      <c r="H985" s="13" t="n">
        <v>0</v>
      </c>
      <c r="I985" s="17" t="n">
        <f aca="false">IF(H985=1,D985,G985)</f>
        <v>38.8824673436858</v>
      </c>
    </row>
    <row r="986" customFormat="false" ht="15" hidden="false" customHeight="false" outlineLevel="0" collapsed="false">
      <c r="A986" s="13" t="s">
        <v>244</v>
      </c>
      <c r="B986" s="13" t="s">
        <v>17</v>
      </c>
      <c r="C986" s="13" t="s">
        <v>21</v>
      </c>
      <c r="D986" s="15" t="n">
        <v>9848</v>
      </c>
      <c r="E986" s="13" t="n">
        <v>0.99751</v>
      </c>
      <c r="F986" s="16" t="str">
        <f aca="false">IF(H986=1,"",D986/E986)</f>
        <v/>
      </c>
      <c r="G986" s="17" t="str">
        <f aca="false">IF(H986=1,"",D986/E986*Notas!$B$3)</f>
        <v/>
      </c>
      <c r="H986" s="13" t="n">
        <v>1</v>
      </c>
      <c r="I986" s="17" t="n">
        <f aca="false">IF(H986=1,D986,G986)</f>
        <v>9848</v>
      </c>
    </row>
    <row r="987" customFormat="false" ht="15" hidden="false" customHeight="false" outlineLevel="0" collapsed="false">
      <c r="A987" s="13" t="s">
        <v>244</v>
      </c>
      <c r="B987" s="13" t="s">
        <v>17</v>
      </c>
      <c r="C987" s="13" t="s">
        <v>22</v>
      </c>
      <c r="D987" s="15" t="n">
        <v>4922</v>
      </c>
      <c r="E987" s="13" t="n">
        <v>0.99751</v>
      </c>
      <c r="F987" s="16" t="str">
        <f aca="false">IF(H987=1,"",D987/E987)</f>
        <v/>
      </c>
      <c r="G987" s="17" t="str">
        <f aca="false">IF(H987=1,"",D987/E987*Notas!$B$3)</f>
        <v/>
      </c>
      <c r="H987" s="13" t="n">
        <v>1</v>
      </c>
      <c r="I987" s="17" t="n">
        <f aca="false">IF(H987=1,D987,G987)</f>
        <v>4922</v>
      </c>
    </row>
    <row r="988" customFormat="false" ht="15" hidden="false" customHeight="false" outlineLevel="0" collapsed="false">
      <c r="A988" s="13" t="s">
        <v>244</v>
      </c>
      <c r="B988" s="13" t="s">
        <v>17</v>
      </c>
      <c r="C988" s="13" t="s">
        <v>23</v>
      </c>
      <c r="D988" s="15" t="n">
        <v>1.66565</v>
      </c>
      <c r="E988" s="13" t="n">
        <v>0.99751</v>
      </c>
      <c r="F988" s="16" t="str">
        <f aca="false">IF(H988=1,"",D988/E988)</f>
        <v/>
      </c>
      <c r="G988" s="17" t="str">
        <f aca="false">IF(H988=1,"",D988/E988*Notas!$B$3)</f>
        <v/>
      </c>
      <c r="H988" s="13" t="n">
        <v>1</v>
      </c>
      <c r="I988" s="17" t="n">
        <f aca="false">IF(H988=1,D988,G988)</f>
        <v>1.66565</v>
      </c>
    </row>
    <row r="989" customFormat="false" ht="15" hidden="false" customHeight="false" outlineLevel="0" collapsed="false">
      <c r="A989" s="13" t="s">
        <v>244</v>
      </c>
      <c r="B989" s="13" t="s">
        <v>17</v>
      </c>
      <c r="C989" s="13" t="s">
        <v>24</v>
      </c>
      <c r="D989" s="15" t="n">
        <v>0.05386</v>
      </c>
      <c r="E989" s="13" t="n">
        <v>0.99751</v>
      </c>
      <c r="F989" s="16" t="str">
        <f aca="false">IF(H989=1,"",D989/E989)</f>
        <v/>
      </c>
      <c r="G989" s="17" t="str">
        <f aca="false">IF(H989=1,"",D989/E989*Notas!$B$3)</f>
        <v/>
      </c>
      <c r="H989" s="13" t="n">
        <v>1</v>
      </c>
      <c r="I989" s="17" t="n">
        <f aca="false">IF(H989=1,D989,G989)</f>
        <v>0.05386</v>
      </c>
    </row>
    <row r="990" customFormat="false" ht="15" hidden="false" customHeight="false" outlineLevel="0" collapsed="false">
      <c r="A990" s="13" t="s">
        <v>244</v>
      </c>
      <c r="B990" s="13" t="s">
        <v>25</v>
      </c>
      <c r="C990" s="13" t="s">
        <v>26</v>
      </c>
      <c r="D990" s="15" t="n">
        <v>54.69215</v>
      </c>
      <c r="E990" s="13" t="n">
        <v>0.99751</v>
      </c>
      <c r="F990" s="16" t="str">
        <f aca="false">IF(H990=1,"",D990/E990)</f>
        <v/>
      </c>
      <c r="G990" s="17" t="str">
        <f aca="false">IF(H990=1,"",D990/E990*Notas!$B$3)</f>
        <v/>
      </c>
      <c r="H990" s="13" t="n">
        <v>1</v>
      </c>
      <c r="I990" s="17" t="n">
        <f aca="false">IF(H990=1,D990,G990)</f>
        <v>54.69215</v>
      </c>
    </row>
    <row r="991" customFormat="false" ht="15" hidden="false" customHeight="false" outlineLevel="0" collapsed="false">
      <c r="A991" s="13" t="s">
        <v>244</v>
      </c>
      <c r="B991" s="13" t="s">
        <v>25</v>
      </c>
      <c r="C991" s="13" t="s">
        <v>27</v>
      </c>
      <c r="D991" s="15" t="n">
        <v>7.19519</v>
      </c>
      <c r="E991" s="13" t="n">
        <v>0.99751</v>
      </c>
      <c r="F991" s="16" t="str">
        <f aca="false">IF(H991=1,"",D991/E991)</f>
        <v/>
      </c>
      <c r="G991" s="17" t="str">
        <f aca="false">IF(H991=1,"",D991/E991*Notas!$B$3)</f>
        <v/>
      </c>
      <c r="H991" s="13" t="n">
        <v>1</v>
      </c>
      <c r="I991" s="17" t="n">
        <f aca="false">IF(H991=1,D991,G991)</f>
        <v>7.19519</v>
      </c>
    </row>
    <row r="992" customFormat="false" ht="15" hidden="false" customHeight="false" outlineLevel="0" collapsed="false">
      <c r="A992" s="13" t="s">
        <v>244</v>
      </c>
      <c r="B992" s="13" t="s">
        <v>25</v>
      </c>
      <c r="C992" s="13" t="s">
        <v>28</v>
      </c>
      <c r="D992" s="15" t="n">
        <v>28.93641</v>
      </c>
      <c r="E992" s="13" t="n">
        <v>0.99751</v>
      </c>
      <c r="F992" s="16" t="str">
        <f aca="false">IF(H992=1,"",D992/E992)</f>
        <v/>
      </c>
      <c r="G992" s="17" t="str">
        <f aca="false">IF(H992=1,"",D992/E992*Notas!$B$3)</f>
        <v/>
      </c>
      <c r="H992" s="13" t="n">
        <v>1</v>
      </c>
      <c r="I992" s="17" t="n">
        <f aca="false">IF(H992=1,D992,G992)</f>
        <v>28.93641</v>
      </c>
    </row>
    <row r="993" customFormat="false" ht="15" hidden="false" customHeight="false" outlineLevel="0" collapsed="false">
      <c r="A993" s="13" t="s">
        <v>244</v>
      </c>
      <c r="B993" s="13" t="s">
        <v>25</v>
      </c>
      <c r="C993" s="13" t="s">
        <v>29</v>
      </c>
      <c r="D993" s="15" t="n">
        <v>9.17625</v>
      </c>
      <c r="E993" s="13" t="n">
        <v>0.99751</v>
      </c>
      <c r="F993" s="16" t="str">
        <f aca="false">IF(H993=1,"",D993/E993)</f>
        <v/>
      </c>
      <c r="G993" s="17" t="str">
        <f aca="false">IF(H993=1,"",D993/E993*Notas!$B$3)</f>
        <v/>
      </c>
      <c r="H993" s="13" t="n">
        <v>1</v>
      </c>
      <c r="I993" s="17" t="n">
        <f aca="false">IF(H993=1,D993,G993)</f>
        <v>9.17625</v>
      </c>
    </row>
    <row r="994" customFormat="false" ht="15" hidden="false" customHeight="false" outlineLevel="0" collapsed="false">
      <c r="A994" s="13" t="s">
        <v>244</v>
      </c>
      <c r="B994" s="13" t="s">
        <v>30</v>
      </c>
      <c r="C994" s="13" t="s">
        <v>31</v>
      </c>
      <c r="D994" s="15" t="n">
        <v>0.55861</v>
      </c>
      <c r="E994" s="13" t="n">
        <v>0.99751</v>
      </c>
      <c r="F994" s="16" t="n">
        <f aca="false">IF(H994=1,"",D994/E994)</f>
        <v>0.560004410983349</v>
      </c>
      <c r="G994" s="17" t="n">
        <f aca="false">IF(H994=1,"",D994/E994*Notas!$B$3)</f>
        <v>53.2004190434181</v>
      </c>
      <c r="H994" s="13" t="n">
        <v>0</v>
      </c>
      <c r="I994" s="17" t="n">
        <f aca="false">IF(H994=1,D994,G994)</f>
        <v>53.2004190434181</v>
      </c>
    </row>
    <row r="995" customFormat="false" ht="15" hidden="false" customHeight="false" outlineLevel="0" collapsed="false">
      <c r="A995" s="13" t="s">
        <v>244</v>
      </c>
      <c r="B995" s="13" t="s">
        <v>30</v>
      </c>
      <c r="C995" s="13" t="s">
        <v>32</v>
      </c>
      <c r="D995" s="15" t="n">
        <v>0.4389</v>
      </c>
      <c r="E995" s="13" t="n">
        <v>0.99751</v>
      </c>
      <c r="F995" s="16" t="n">
        <f aca="false">IF(H995=1,"",D995/E995)</f>
        <v>0.439995589016652</v>
      </c>
      <c r="G995" s="17" t="n">
        <f aca="false">IF(H995=1,"",D995/E995*Notas!$B$3)</f>
        <v>41.7995809565819</v>
      </c>
      <c r="H995" s="13" t="n">
        <v>0</v>
      </c>
      <c r="I995" s="17" t="n">
        <f aca="false">IF(H995=1,D995,G995)</f>
        <v>41.7995809565819</v>
      </c>
    </row>
    <row r="996" customFormat="false" ht="15" hidden="false" customHeight="false" outlineLevel="0" collapsed="false">
      <c r="A996" s="13" t="s">
        <v>244</v>
      </c>
      <c r="B996" s="13" t="s">
        <v>30</v>
      </c>
      <c r="C996" s="13" t="s">
        <v>33</v>
      </c>
      <c r="D996" s="15" t="n">
        <v>0.51687</v>
      </c>
      <c r="E996" s="13" t="n">
        <v>0.99751</v>
      </c>
      <c r="F996" s="16" t="n">
        <f aca="false">IF(H996=1,"",D996/E996)</f>
        <v>0.518160218945174</v>
      </c>
      <c r="G996" s="17" t="n">
        <f aca="false">IF(H996=1,"",D996/E996*Notas!$B$3)</f>
        <v>49.2252207997915</v>
      </c>
      <c r="H996" s="13" t="n">
        <v>0</v>
      </c>
      <c r="I996" s="17" t="n">
        <f aca="false">IF(H996=1,D996,G996)</f>
        <v>49.2252207997915</v>
      </c>
    </row>
    <row r="997" customFormat="false" ht="15" hidden="false" customHeight="false" outlineLevel="0" collapsed="false">
      <c r="A997" s="13" t="s">
        <v>244</v>
      </c>
      <c r="B997" s="13" t="s">
        <v>30</v>
      </c>
      <c r="C997" s="13" t="s">
        <v>34</v>
      </c>
      <c r="D997" s="15" t="n">
        <v>0.40827</v>
      </c>
      <c r="E997" s="13" t="n">
        <v>0.99751</v>
      </c>
      <c r="F997" s="16" t="n">
        <f aca="false">IF(H997=1,"",D997/E997)</f>
        <v>0.409289129933535</v>
      </c>
      <c r="G997" s="17" t="n">
        <f aca="false">IF(H997=1,"",D997/E997*Notas!$B$3)</f>
        <v>38.8824673436858</v>
      </c>
      <c r="H997" s="13" t="n">
        <v>0</v>
      </c>
      <c r="I997" s="17" t="n">
        <f aca="false">IF(H997=1,D997,G997)</f>
        <v>38.8824673436858</v>
      </c>
    </row>
    <row r="998" customFormat="false" ht="15" hidden="false" customHeight="false" outlineLevel="0" collapsed="false">
      <c r="A998" s="13" t="s">
        <v>244</v>
      </c>
      <c r="B998" s="13" t="s">
        <v>35</v>
      </c>
      <c r="C998" s="13" t="s">
        <v>36</v>
      </c>
      <c r="D998" s="15" t="n">
        <v>2.27273</v>
      </c>
      <c r="E998" s="13" t="n">
        <v>0.99751</v>
      </c>
      <c r="F998" s="16" t="str">
        <f aca="false">IF(H998=1,"",D998/E998)</f>
        <v/>
      </c>
      <c r="G998" s="17" t="str">
        <f aca="false">IF(H998=1,"",D998/E998*Notas!$B$3)</f>
        <v/>
      </c>
      <c r="H998" s="13" t="n">
        <v>1</v>
      </c>
      <c r="I998" s="17" t="n">
        <f aca="false">IF(H998=1,D998,G998)</f>
        <v>2.27273</v>
      </c>
    </row>
    <row r="999" customFormat="false" ht="15" hidden="false" customHeight="false" outlineLevel="0" collapsed="false">
      <c r="A999" s="13" t="s">
        <v>244</v>
      </c>
      <c r="B999" s="13" t="s">
        <v>35</v>
      </c>
      <c r="C999" s="13" t="s">
        <v>37</v>
      </c>
      <c r="D999" s="15" t="n">
        <v>44</v>
      </c>
      <c r="E999" s="13" t="n">
        <v>0.99751</v>
      </c>
      <c r="F999" s="16" t="str">
        <f aca="false">IF(H999=1,"",D999/E999)</f>
        <v/>
      </c>
      <c r="G999" s="17" t="str">
        <f aca="false">IF(H999=1,"",D999/E999*Notas!$B$3)</f>
        <v/>
      </c>
      <c r="H999" s="13" t="n">
        <v>1</v>
      </c>
      <c r="I999" s="17" t="n">
        <f aca="false">IF(H999=1,D999,G999)</f>
        <v>44</v>
      </c>
    </row>
    <row r="1000" customFormat="false" ht="15" hidden="false" customHeight="false" outlineLevel="0" collapsed="false">
      <c r="A1000" s="13" t="s">
        <v>244</v>
      </c>
      <c r="B1000" s="13" t="s">
        <v>38</v>
      </c>
      <c r="C1000" s="13" t="s">
        <v>39</v>
      </c>
      <c r="D1000" s="15" t="n">
        <v>0.65581</v>
      </c>
      <c r="E1000" s="13" t="n">
        <v>0.99751</v>
      </c>
      <c r="F1000" s="16" t="n">
        <f aca="false">IF(H1000=1,"",D1000/E1000)</f>
        <v>0.657447043137412</v>
      </c>
      <c r="G1000" s="17" t="n">
        <f aca="false">IF(H1000=1,"",D1000/E1000*Notas!$B$3)</f>
        <v>62.4574690980542</v>
      </c>
      <c r="H1000" s="13" t="n">
        <v>0</v>
      </c>
      <c r="I1000" s="17" t="n">
        <f aca="false">IF(H1000=1,D1000,G1000)</f>
        <v>62.4574690980542</v>
      </c>
    </row>
    <row r="1001" customFormat="false" ht="15" hidden="false" customHeight="false" outlineLevel="0" collapsed="false">
      <c r="A1001" s="13" t="s">
        <v>244</v>
      </c>
      <c r="B1001" s="13" t="s">
        <v>38</v>
      </c>
      <c r="C1001" s="13" t="s">
        <v>40</v>
      </c>
      <c r="D1001" s="15" t="n">
        <v>0.08962</v>
      </c>
      <c r="E1001" s="13" t="n">
        <v>0.99751</v>
      </c>
      <c r="F1001" s="16" t="n">
        <f aca="false">IF(H1001=1,"",D1001/E1001)</f>
        <v>0.0898437108399916</v>
      </c>
      <c r="G1001" s="17" t="n">
        <f aca="false">IF(H1001=1,"",D1001/E1001*Notas!$B$3)</f>
        <v>8.5351525297992</v>
      </c>
      <c r="H1001" s="13" t="n">
        <v>0</v>
      </c>
      <c r="I1001" s="17" t="n">
        <f aca="false">IF(H1001=1,D1001,G1001)</f>
        <v>8.5351525297992</v>
      </c>
    </row>
    <row r="1002" customFormat="false" ht="15" hidden="false" customHeight="false" outlineLevel="0" collapsed="false">
      <c r="A1002" s="13" t="s">
        <v>244</v>
      </c>
      <c r="B1002" s="13" t="s">
        <v>38</v>
      </c>
      <c r="C1002" s="13" t="s">
        <v>41</v>
      </c>
      <c r="D1002" s="15" t="n">
        <v>0.17539</v>
      </c>
      <c r="E1002" s="13" t="n">
        <v>0.99751</v>
      </c>
      <c r="F1002" s="16" t="n">
        <f aca="false">IF(H1002=1,"",D1002/E1002)</f>
        <v>0.175827811250013</v>
      </c>
      <c r="G1002" s="17" t="n">
        <f aca="false">IF(H1002=1,"",D1002/E1002*Notas!$B$3)</f>
        <v>16.7036420687512</v>
      </c>
      <c r="H1002" s="13" t="n">
        <v>0</v>
      </c>
      <c r="I1002" s="17" t="n">
        <f aca="false">IF(H1002=1,D1002,G1002)</f>
        <v>16.7036420687512</v>
      </c>
    </row>
    <row r="1003" customFormat="false" ht="15" hidden="false" customHeight="false" outlineLevel="0" collapsed="false">
      <c r="A1003" s="13" t="s">
        <v>244</v>
      </c>
      <c r="B1003" s="13" t="s">
        <v>38</v>
      </c>
      <c r="C1003" s="13" t="s">
        <v>42</v>
      </c>
      <c r="D1003" s="15" t="n">
        <v>-0.08604</v>
      </c>
      <c r="E1003" s="13" t="n">
        <v>0.99751</v>
      </c>
      <c r="F1003" s="16" t="n">
        <f aca="false">IF(H1003=1,"",D1003/E1003)</f>
        <v>-0.0862547743882267</v>
      </c>
      <c r="G1003" s="17" t="n">
        <f aca="false">IF(H1003=1,"",D1003/E1003*Notas!$B$3)</f>
        <v>-8.19420356688154</v>
      </c>
      <c r="H1003" s="13" t="n">
        <v>0</v>
      </c>
      <c r="I1003" s="17" t="n">
        <f aca="false">IF(H1003=1,D1003,G1003)</f>
        <v>-8.19420356688154</v>
      </c>
    </row>
    <row r="1004" customFormat="false" ht="15" hidden="false" customHeight="false" outlineLevel="0" collapsed="false">
      <c r="A1004" s="13" t="s">
        <v>244</v>
      </c>
      <c r="B1004" s="13" t="s">
        <v>38</v>
      </c>
      <c r="C1004" s="13" t="s">
        <v>43</v>
      </c>
      <c r="D1004" s="15" t="n">
        <v>0.65516</v>
      </c>
      <c r="E1004" s="13" t="n">
        <v>0.99751</v>
      </c>
      <c r="F1004" s="16" t="n">
        <f aca="false">IF(H1004=1,"",D1004/E1004)</f>
        <v>0.656795420597287</v>
      </c>
      <c r="G1004" s="17" t="n">
        <f aca="false">IF(H1004=1,"",D1004/E1004*Notas!$B$3)</f>
        <v>62.3955649567423</v>
      </c>
      <c r="H1004" s="13" t="n">
        <v>0</v>
      </c>
      <c r="I1004" s="17" t="n">
        <f aca="false">IF(H1004=1,D1004,G1004)</f>
        <v>62.3955649567423</v>
      </c>
    </row>
    <row r="1005" customFormat="false" ht="15" hidden="false" customHeight="false" outlineLevel="0" collapsed="false">
      <c r="A1005" s="13" t="s">
        <v>244</v>
      </c>
      <c r="B1005" s="13" t="s">
        <v>38</v>
      </c>
      <c r="C1005" s="13" t="s">
        <v>44</v>
      </c>
      <c r="D1005" s="15" t="n">
        <v>0.11416</v>
      </c>
      <c r="E1005" s="13" t="n">
        <v>0.99751</v>
      </c>
      <c r="F1005" s="16" t="n">
        <f aca="false">IF(H1005=1,"",D1005/E1005)</f>
        <v>0.114444967970246</v>
      </c>
      <c r="G1005" s="17" t="n">
        <f aca="false">IF(H1005=1,"",D1005/E1005*Notas!$B$3)</f>
        <v>10.8722719571734</v>
      </c>
      <c r="H1005" s="13" t="n">
        <v>0</v>
      </c>
      <c r="I1005" s="17" t="n">
        <f aca="false">IF(H1005=1,D1005,G1005)</f>
        <v>10.8722719571734</v>
      </c>
    </row>
    <row r="1006" customFormat="false" ht="15" hidden="false" customHeight="false" outlineLevel="0" collapsed="false">
      <c r="A1006" s="13" t="s">
        <v>244</v>
      </c>
      <c r="B1006" s="13" t="s">
        <v>38</v>
      </c>
      <c r="C1006" s="13" t="s">
        <v>45</v>
      </c>
      <c r="D1006" s="15" t="n">
        <v>0.14723</v>
      </c>
      <c r="E1006" s="13" t="n">
        <v>0.99751</v>
      </c>
      <c r="F1006" s="16" t="n">
        <f aca="false">IF(H1006=1,"",D1006/E1006)</f>
        <v>0.14759751781937</v>
      </c>
      <c r="G1006" s="17" t="n">
        <f aca="false">IF(H1006=1,"",D1006/E1006*Notas!$B$3)</f>
        <v>14.0217641928402</v>
      </c>
      <c r="H1006" s="13" t="n">
        <v>0</v>
      </c>
      <c r="I1006" s="17" t="n">
        <f aca="false">IF(H1006=1,D1006,G1006)</f>
        <v>14.0217641928402</v>
      </c>
    </row>
    <row r="1007" customFormat="false" ht="15" hidden="false" customHeight="false" outlineLevel="0" collapsed="false">
      <c r="A1007" s="13" t="s">
        <v>244</v>
      </c>
      <c r="B1007" s="13" t="s">
        <v>38</v>
      </c>
      <c r="C1007" s="13" t="s">
        <v>46</v>
      </c>
      <c r="D1007" s="15" t="n">
        <v>0.11281</v>
      </c>
      <c r="E1007" s="13" t="n">
        <v>0.99751</v>
      </c>
      <c r="F1007" s="16" t="n">
        <f aca="false">IF(H1007=1,"",D1007/E1007)</f>
        <v>0.113091598079217</v>
      </c>
      <c r="G1007" s="17" t="n">
        <f aca="false">IF(H1007=1,"",D1007/E1007*Notas!$B$3)</f>
        <v>10.7437018175256</v>
      </c>
      <c r="H1007" s="13" t="n">
        <v>0</v>
      </c>
      <c r="I1007" s="17" t="n">
        <f aca="false">IF(H1007=1,D1007,G1007)</f>
        <v>10.7437018175256</v>
      </c>
    </row>
    <row r="1008" customFormat="false" ht="15" hidden="false" customHeight="false" outlineLevel="0" collapsed="false">
      <c r="A1008" s="13" t="s">
        <v>244</v>
      </c>
      <c r="B1008" s="13" t="s">
        <v>38</v>
      </c>
      <c r="C1008" s="13" t="s">
        <v>47</v>
      </c>
      <c r="D1008" s="15" t="n">
        <v>0.17539</v>
      </c>
      <c r="E1008" s="13" t="n">
        <v>0.99751</v>
      </c>
      <c r="F1008" s="16" t="n">
        <f aca="false">IF(H1008=1,"",D1008/E1008)</f>
        <v>0.175827811250013</v>
      </c>
      <c r="G1008" s="17" t="n">
        <f aca="false">IF(H1008=1,"",D1008/E1008*Notas!$B$3)</f>
        <v>16.7036420687512</v>
      </c>
      <c r="H1008" s="13" t="n">
        <v>0</v>
      </c>
      <c r="I1008" s="17" t="n">
        <f aca="false">IF(H1008=1,D1008,G1008)</f>
        <v>16.7036420687512</v>
      </c>
    </row>
    <row r="1009" customFormat="false" ht="15" hidden="false" customHeight="false" outlineLevel="0" collapsed="false">
      <c r="A1009" s="13" t="s">
        <v>244</v>
      </c>
      <c r="B1009" s="13" t="s">
        <v>38</v>
      </c>
      <c r="C1009" s="13" t="s">
        <v>48</v>
      </c>
      <c r="D1009" s="15" t="n">
        <v>0.30074</v>
      </c>
      <c r="E1009" s="13" t="n">
        <v>0.99751</v>
      </c>
      <c r="F1009" s="16" t="n">
        <f aca="false">IF(H1009=1,"",D1009/E1009)</f>
        <v>0.301490711872563</v>
      </c>
      <c r="G1009" s="17" t="n">
        <f aca="false">IF(H1009=1,"",D1009/E1009*Notas!$B$3)</f>
        <v>28.6416176278935</v>
      </c>
      <c r="H1009" s="13" t="n">
        <v>0</v>
      </c>
      <c r="I1009" s="17" t="n">
        <f aca="false">IF(H1009=1,D1009,G1009)</f>
        <v>28.6416176278935</v>
      </c>
    </row>
    <row r="1010" customFormat="false" ht="15" hidden="false" customHeight="false" outlineLevel="0" collapsed="false">
      <c r="A1010" s="13" t="s">
        <v>244</v>
      </c>
      <c r="B1010" s="13" t="s">
        <v>30</v>
      </c>
      <c r="C1010" s="13" t="s">
        <v>49</v>
      </c>
      <c r="D1010" s="15" t="n">
        <v>0.44744</v>
      </c>
      <c r="E1010" s="13" t="n">
        <v>0.99751</v>
      </c>
      <c r="F1010" s="16" t="n">
        <f aca="false">IF(H1010=1,"",D1010/E1010)</f>
        <v>0.448556906697677</v>
      </c>
      <c r="G1010" s="17" t="n">
        <f aca="false">IF(H1010=1,"",D1010/E1010*Notas!$B$3)</f>
        <v>42.6129061362793</v>
      </c>
      <c r="H1010" s="13" t="n">
        <v>0</v>
      </c>
      <c r="I1010" s="17" t="n">
        <f aca="false">IF(H1010=1,D1010,G1010)</f>
        <v>42.6129061362793</v>
      </c>
    </row>
    <row r="1011" customFormat="false" ht="15" hidden="false" customHeight="false" outlineLevel="0" collapsed="false">
      <c r="A1011" s="13" t="s">
        <v>244</v>
      </c>
      <c r="B1011" s="13" t="s">
        <v>30</v>
      </c>
      <c r="C1011" s="13" t="s">
        <v>50</v>
      </c>
      <c r="D1011" s="15" t="n">
        <v>0.32845</v>
      </c>
      <c r="E1011" s="13" t="n">
        <v>0.99751</v>
      </c>
      <c r="F1011" s="16" t="n">
        <f aca="false">IF(H1011=1,"",D1011/E1011)</f>
        <v>0.329269882006195</v>
      </c>
      <c r="G1011" s="17" t="n">
        <f aca="false">IF(H1011=1,"",D1011/E1011*Notas!$B$3)</f>
        <v>31.2806387905886</v>
      </c>
      <c r="H1011" s="13" t="n">
        <v>0</v>
      </c>
      <c r="I1011" s="17" t="n">
        <f aca="false">IF(H1011=1,D1011,G1011)</f>
        <v>31.2806387905886</v>
      </c>
    </row>
    <row r="1012" customFormat="false" ht="15" hidden="false" customHeight="false" outlineLevel="0" collapsed="false">
      <c r="A1012" s="13" t="s">
        <v>244</v>
      </c>
      <c r="B1012" s="13" t="s">
        <v>30</v>
      </c>
      <c r="C1012" s="13" t="s">
        <v>51</v>
      </c>
      <c r="D1012" s="15" t="n">
        <v>1.81649</v>
      </c>
      <c r="E1012" s="13" t="n">
        <v>0.99751</v>
      </c>
      <c r="F1012" s="16" t="n">
        <f aca="false">IF(H1012=1,"",D1012/E1012)</f>
        <v>1.82102435063308</v>
      </c>
      <c r="G1012" s="17" t="n">
        <f aca="false">IF(H1012=1,"",D1012/E1012*Notas!$B$3)</f>
        <v>172.997313310142</v>
      </c>
      <c r="H1012" s="13" t="n">
        <v>0</v>
      </c>
      <c r="I1012" s="17" t="n">
        <f aca="false">IF(H1012=1,D1012,G1012)</f>
        <v>172.997313310142</v>
      </c>
    </row>
    <row r="1013" customFormat="false" ht="15" hidden="false" customHeight="false" outlineLevel="0" collapsed="false">
      <c r="A1013" s="13" t="s">
        <v>244</v>
      </c>
      <c r="B1013" s="13" t="s">
        <v>30</v>
      </c>
      <c r="C1013" s="13" t="s">
        <v>52</v>
      </c>
      <c r="D1013" s="15" t="n">
        <v>0.49331</v>
      </c>
      <c r="E1013" s="13" t="n">
        <v>0.99751</v>
      </c>
      <c r="F1013" s="16" t="n">
        <f aca="false">IF(H1013=1,"",D1013/E1013)</f>
        <v>0.494541408106184</v>
      </c>
      <c r="G1013" s="17" t="n">
        <f aca="false">IF(H1013=1,"",D1013/E1013*Notas!$B$3)</f>
        <v>46.9814337700875</v>
      </c>
      <c r="H1013" s="13" t="n">
        <v>0</v>
      </c>
      <c r="I1013" s="17" t="n">
        <f aca="false">IF(H1013=1,D1013,G1013)</f>
        <v>46.9814337700875</v>
      </c>
    </row>
    <row r="1014" customFormat="false" ht="15" hidden="false" customHeight="false" outlineLevel="0" collapsed="false">
      <c r="A1014" s="13" t="s">
        <v>244</v>
      </c>
      <c r="B1014" s="13" t="s">
        <v>30</v>
      </c>
      <c r="C1014" s="13" t="s">
        <v>53</v>
      </c>
      <c r="D1014" s="15" t="n">
        <v>0.40173</v>
      </c>
      <c r="E1014" s="13" t="n">
        <v>0.99751</v>
      </c>
      <c r="F1014" s="16" t="n">
        <f aca="false">IF(H1014=1,"",D1014/E1014)</f>
        <v>0.402732804683662</v>
      </c>
      <c r="G1014" s="17" t="n">
        <f aca="false">IF(H1014=1,"",D1014/E1014*Notas!$B$3)</f>
        <v>38.2596164449479</v>
      </c>
      <c r="H1014" s="13" t="n">
        <v>0</v>
      </c>
      <c r="I1014" s="17" t="n">
        <f aca="false">IF(H1014=1,D1014,G1014)</f>
        <v>38.2596164449479</v>
      </c>
    </row>
    <row r="1015" customFormat="false" ht="15" hidden="false" customHeight="false" outlineLevel="0" collapsed="false">
      <c r="A1015" s="13" t="s">
        <v>244</v>
      </c>
      <c r="B1015" s="13" t="s">
        <v>30</v>
      </c>
      <c r="C1015" s="13" t="s">
        <v>54</v>
      </c>
      <c r="D1015" s="15" t="n">
        <v>1.9845</v>
      </c>
      <c r="E1015" s="13" t="n">
        <v>0.99751</v>
      </c>
      <c r="F1015" s="16" t="n">
        <f aca="false">IF(H1015=1,"",D1015/E1015)</f>
        <v>1.98945373981213</v>
      </c>
      <c r="G1015" s="17" t="n">
        <f aca="false">IF(H1015=1,"",D1015/E1015*Notas!$B$3)</f>
        <v>188.998105282153</v>
      </c>
      <c r="H1015" s="13" t="n">
        <v>0</v>
      </c>
      <c r="I1015" s="17" t="n">
        <f aca="false">IF(H1015=1,D1015,G1015)</f>
        <v>188.998105282153</v>
      </c>
    </row>
    <row r="1016" customFormat="false" ht="15" hidden="false" customHeight="false" outlineLevel="0" collapsed="false">
      <c r="A1016" s="13" t="s">
        <v>244</v>
      </c>
      <c r="B1016" s="13" t="s">
        <v>30</v>
      </c>
      <c r="C1016" s="13" t="s">
        <v>55</v>
      </c>
      <c r="D1016" s="15" t="n">
        <v>0.42629</v>
      </c>
      <c r="E1016" s="13" t="n">
        <v>0.99751</v>
      </c>
      <c r="F1016" s="16" t="n">
        <f aca="false">IF(H1016=1,"",D1016/E1016)</f>
        <v>0.427354111738228</v>
      </c>
      <c r="G1016" s="17" t="n">
        <f aca="false">IF(H1016=1,"",D1016/E1016*Notas!$B$3)</f>
        <v>40.5986406151317</v>
      </c>
      <c r="H1016" s="13" t="n">
        <v>0</v>
      </c>
      <c r="I1016" s="17" t="n">
        <f aca="false">IF(H1016=1,D1016,G1016)</f>
        <v>40.5986406151317</v>
      </c>
    </row>
    <row r="1017" customFormat="false" ht="15" hidden="false" customHeight="false" outlineLevel="0" collapsed="false">
      <c r="A1017" s="13" t="s">
        <v>244</v>
      </c>
      <c r="B1017" s="13" t="s">
        <v>30</v>
      </c>
      <c r="C1017" s="13" t="s">
        <v>56</v>
      </c>
      <c r="D1017" s="15" t="n">
        <v>0.34028</v>
      </c>
      <c r="E1017" s="13" t="n">
        <v>0.99751</v>
      </c>
      <c r="F1017" s="16" t="n">
        <f aca="false">IF(H1017=1,"",D1017/E1017)</f>
        <v>0.341129412236469</v>
      </c>
      <c r="G1017" s="17" t="n">
        <f aca="false">IF(H1017=1,"",D1017/E1017*Notas!$B$3)</f>
        <v>32.4072941624645</v>
      </c>
      <c r="H1017" s="13" t="n">
        <v>0</v>
      </c>
      <c r="I1017" s="17" t="n">
        <f aca="false">IF(H1017=1,D1017,G1017)</f>
        <v>32.4072941624645</v>
      </c>
    </row>
    <row r="1018" customFormat="false" ht="15" hidden="false" customHeight="false" outlineLevel="0" collapsed="false">
      <c r="A1018" s="13" t="s">
        <v>244</v>
      </c>
      <c r="B1018" s="13" t="s">
        <v>30</v>
      </c>
      <c r="C1018" s="13" t="s">
        <v>57</v>
      </c>
      <c r="D1018" s="15" t="n">
        <v>1.6111</v>
      </c>
      <c r="E1018" s="13" t="n">
        <v>0.99751</v>
      </c>
      <c r="F1018" s="16" t="n">
        <f aca="false">IF(H1018=1,"",D1018/E1018)</f>
        <v>1.61512165291576</v>
      </c>
      <c r="G1018" s="17" t="n">
        <f aca="false">IF(H1018=1,"",D1018/E1018*Notas!$B$3)</f>
        <v>153.436557026997</v>
      </c>
      <c r="H1018" s="13" t="n">
        <v>0</v>
      </c>
      <c r="I1018" s="17" t="n">
        <f aca="false">IF(H1018=1,D1018,G1018)</f>
        <v>153.436557026997</v>
      </c>
    </row>
    <row r="1019" customFormat="false" ht="15" hidden="false" customHeight="false" outlineLevel="0" collapsed="false">
      <c r="A1019" s="13" t="s">
        <v>244</v>
      </c>
      <c r="B1019" s="13" t="s">
        <v>58</v>
      </c>
      <c r="C1019" s="13" t="s">
        <v>59</v>
      </c>
      <c r="D1019" s="15" t="n">
        <v>0.71576</v>
      </c>
      <c r="E1019" s="13" t="n">
        <v>0.99751</v>
      </c>
      <c r="F1019" s="16" t="n">
        <f aca="false">IF(H1019=1,"",D1019/E1019)</f>
        <v>0.717546691261241</v>
      </c>
      <c r="G1019" s="17" t="n">
        <f aca="false">IF(H1019=1,"",D1019/E1019*Notas!$B$3)</f>
        <v>68.1669356698179</v>
      </c>
      <c r="H1019" s="13" t="n">
        <v>0</v>
      </c>
      <c r="I1019" s="17" t="n">
        <f aca="false">IF(H1019=1,D1019,G1019)</f>
        <v>68.1669356698179</v>
      </c>
    </row>
    <row r="1020" customFormat="false" ht="15" hidden="false" customHeight="false" outlineLevel="0" collapsed="false">
      <c r="A1020" s="13" t="s">
        <v>244</v>
      </c>
      <c r="B1020" s="13" t="s">
        <v>58</v>
      </c>
      <c r="C1020" s="13" t="s">
        <v>60</v>
      </c>
      <c r="D1020" s="15" t="n">
        <v>0.25843</v>
      </c>
      <c r="E1020" s="13" t="n">
        <v>0.99751</v>
      </c>
      <c r="F1020" s="16" t="n">
        <f aca="false">IF(H1020=1,"",D1020/E1020)</f>
        <v>0.259075096991509</v>
      </c>
      <c r="G1020" s="17" t="n">
        <f aca="false">IF(H1020=1,"",D1020/E1020*Notas!$B$3)</f>
        <v>24.6121342141933</v>
      </c>
      <c r="H1020" s="13" t="n">
        <v>0</v>
      </c>
      <c r="I1020" s="17" t="n">
        <f aca="false">IF(H1020=1,D1020,G1020)</f>
        <v>24.6121342141933</v>
      </c>
    </row>
    <row r="1021" customFormat="false" ht="15" hidden="false" customHeight="false" outlineLevel="0" collapsed="false">
      <c r="A1021" s="13" t="s">
        <v>244</v>
      </c>
      <c r="B1021" s="13" t="s">
        <v>58</v>
      </c>
      <c r="C1021" s="13" t="s">
        <v>61</v>
      </c>
      <c r="D1021" s="15" t="n">
        <v>0.72377</v>
      </c>
      <c r="E1021" s="13" t="n">
        <v>0.99751</v>
      </c>
      <c r="F1021" s="16" t="n">
        <f aca="false">IF(H1021=1,"",D1021/E1021)</f>
        <v>0.725576685948011</v>
      </c>
      <c r="G1021" s="17" t="n">
        <f aca="false">IF(H1021=1,"",D1021/E1021*Notas!$B$3)</f>
        <v>68.929785165061</v>
      </c>
      <c r="H1021" s="13" t="n">
        <v>0</v>
      </c>
      <c r="I1021" s="17" t="n">
        <f aca="false">IF(H1021=1,D1021,G1021)</f>
        <v>68.929785165061</v>
      </c>
    </row>
    <row r="1022" customFormat="false" ht="15" hidden="false" customHeight="false" outlineLevel="0" collapsed="false">
      <c r="A1022" s="13" t="s">
        <v>244</v>
      </c>
      <c r="B1022" s="13" t="s">
        <v>58</v>
      </c>
      <c r="C1022" s="13" t="s">
        <v>62</v>
      </c>
      <c r="D1022" s="15" t="n">
        <v>0.25843</v>
      </c>
      <c r="E1022" s="13" t="n">
        <v>0.99751</v>
      </c>
      <c r="F1022" s="16" t="n">
        <f aca="false">IF(H1022=1,"",D1022/E1022)</f>
        <v>0.259075096991509</v>
      </c>
      <c r="G1022" s="17" t="n">
        <f aca="false">IF(H1022=1,"",D1022/E1022*Notas!$B$3)</f>
        <v>24.6121342141933</v>
      </c>
      <c r="H1022" s="13" t="n">
        <v>0</v>
      </c>
      <c r="I1022" s="17" t="n">
        <f aca="false">IF(H1022=1,D1022,G1022)</f>
        <v>24.6121342141933</v>
      </c>
    </row>
    <row r="1023" customFormat="false" ht="15" hidden="false" customHeight="false" outlineLevel="0" collapsed="false">
      <c r="A1023" s="13" t="s">
        <v>244</v>
      </c>
      <c r="B1023" s="13" t="s">
        <v>63</v>
      </c>
      <c r="C1023" s="13" t="s">
        <v>64</v>
      </c>
      <c r="D1023" s="15" t="n">
        <v>0.56252</v>
      </c>
      <c r="E1023" s="13" t="n">
        <v>0.99751</v>
      </c>
      <c r="F1023" s="16" t="n">
        <f aca="false">IF(H1023=1,"",D1023/E1023)</f>
        <v>0.563924171186254</v>
      </c>
      <c r="G1023" s="17" t="n">
        <f aca="false">IF(H1023=1,"",D1023/E1023*Notas!$B$3)</f>
        <v>53.5727962626941</v>
      </c>
      <c r="H1023" s="13" t="n">
        <v>0</v>
      </c>
      <c r="I1023" s="17" t="n">
        <f aca="false">IF(H1023=1,D1023,G1023)</f>
        <v>53.5727962626941</v>
      </c>
    </row>
    <row r="1024" customFormat="false" ht="15" hidden="false" customHeight="false" outlineLevel="0" collapsed="false">
      <c r="A1024" s="13" t="s">
        <v>244</v>
      </c>
      <c r="B1024" s="13" t="s">
        <v>63</v>
      </c>
      <c r="C1024" s="13" t="s">
        <v>65</v>
      </c>
      <c r="D1024" s="15" t="n">
        <v>0.3192</v>
      </c>
      <c r="E1024" s="13" t="n">
        <v>0.99751</v>
      </c>
      <c r="F1024" s="16" t="n">
        <f aca="false">IF(H1024=1,"",D1024/E1024)</f>
        <v>0.31999679201211</v>
      </c>
      <c r="G1024" s="17" t="n">
        <f aca="false">IF(H1024=1,"",D1024/E1024*Notas!$B$3)</f>
        <v>30.3996952411505</v>
      </c>
      <c r="H1024" s="13" t="n">
        <v>0</v>
      </c>
      <c r="I1024" s="17" t="n">
        <f aca="false">IF(H1024=1,D1024,G1024)</f>
        <v>30.3996952411505</v>
      </c>
    </row>
    <row r="1025" customFormat="false" ht="15" hidden="false" customHeight="false" outlineLevel="0" collapsed="false">
      <c r="A1025" s="13" t="s">
        <v>244</v>
      </c>
      <c r="B1025" s="13" t="s">
        <v>63</v>
      </c>
      <c r="C1025" s="13" t="s">
        <v>66</v>
      </c>
      <c r="D1025" s="15" t="n">
        <v>0.24332</v>
      </c>
      <c r="E1025" s="13" t="n">
        <v>0.99751</v>
      </c>
      <c r="F1025" s="16" t="n">
        <f aca="false">IF(H1025=1,"",D1025/E1025)</f>
        <v>0.243927379174144</v>
      </c>
      <c r="G1025" s="17" t="n">
        <f aca="false">IF(H1025=1,"",D1025/E1025*Notas!$B$3)</f>
        <v>23.1731010215436</v>
      </c>
      <c r="H1025" s="13" t="n">
        <v>0</v>
      </c>
      <c r="I1025" s="17" t="n">
        <f aca="false">IF(H1025=1,D1025,G1025)</f>
        <v>23.1731010215436</v>
      </c>
    </row>
    <row r="1026" customFormat="false" ht="15" hidden="false" customHeight="false" outlineLevel="0" collapsed="false">
      <c r="A1026" s="13" t="s">
        <v>244</v>
      </c>
      <c r="B1026" s="13" t="s">
        <v>63</v>
      </c>
      <c r="C1026" s="13" t="s">
        <v>67</v>
      </c>
      <c r="D1026" s="15" t="n">
        <v>0.23862</v>
      </c>
      <c r="E1026" s="13" t="n">
        <v>0.99751</v>
      </c>
      <c r="F1026" s="16" t="n">
        <f aca="false">IF(H1026=1,"",D1026/E1026)</f>
        <v>0.239215646960933</v>
      </c>
      <c r="G1026" s="17" t="n">
        <f aca="false">IF(H1026=1,"",D1026/E1026*Notas!$B$3)</f>
        <v>22.7254864612886</v>
      </c>
      <c r="H1026" s="13" t="n">
        <v>0</v>
      </c>
      <c r="I1026" s="17" t="n">
        <f aca="false">IF(H1026=1,D1026,G1026)</f>
        <v>22.7254864612886</v>
      </c>
    </row>
    <row r="1027" customFormat="false" ht="15" hidden="false" customHeight="false" outlineLevel="0" collapsed="false">
      <c r="A1027" s="13" t="s">
        <v>244</v>
      </c>
      <c r="B1027" s="13" t="s">
        <v>63</v>
      </c>
      <c r="C1027" s="13" t="s">
        <v>68</v>
      </c>
      <c r="D1027" s="15" t="n">
        <v>0.21803</v>
      </c>
      <c r="E1027" s="13" t="n">
        <v>0.99751</v>
      </c>
      <c r="F1027" s="16" t="n">
        <f aca="false">IF(H1027=1,"",D1027/E1027)</f>
        <v>0.218574249882207</v>
      </c>
      <c r="G1027" s="17" t="n">
        <f aca="false">IF(H1027=1,"",D1027/E1027*Notas!$B$3)</f>
        <v>20.7645537388096</v>
      </c>
      <c r="H1027" s="13" t="n">
        <v>0</v>
      </c>
      <c r="I1027" s="17" t="n">
        <f aca="false">IF(H1027=1,D1027,G1027)</f>
        <v>20.7645537388096</v>
      </c>
    </row>
    <row r="1028" customFormat="false" ht="15" hidden="false" customHeight="false" outlineLevel="0" collapsed="false">
      <c r="A1028" s="13" t="s">
        <v>244</v>
      </c>
      <c r="B1028" s="13" t="s">
        <v>178</v>
      </c>
      <c r="C1028" s="13" t="s">
        <v>179</v>
      </c>
      <c r="D1028" s="15" t="n">
        <v>0.56753</v>
      </c>
      <c r="E1028" s="13" t="n">
        <v>0.99751</v>
      </c>
      <c r="F1028" s="16" t="n">
        <f aca="false">IF(H1028=1,"",D1028/E1028)</f>
        <v>0.568946677226293</v>
      </c>
      <c r="G1028" s="17" t="n">
        <f aca="false">IF(H1028=1,"",D1028/E1028*Notas!$B$3)</f>
        <v>54.0499343364979</v>
      </c>
      <c r="H1028" s="13" t="n">
        <v>0</v>
      </c>
      <c r="I1028" s="17" t="n">
        <f aca="false">IF(H1028=1,D1028,G1028)</f>
        <v>54.0499343364979</v>
      </c>
    </row>
    <row r="1029" customFormat="false" ht="15" hidden="false" customHeight="false" outlineLevel="0" collapsed="false">
      <c r="A1029" s="13" t="s">
        <v>244</v>
      </c>
      <c r="B1029" s="13" t="s">
        <v>178</v>
      </c>
      <c r="C1029" s="13" t="s">
        <v>180</v>
      </c>
      <c r="D1029" s="15" t="n">
        <v>0.45748</v>
      </c>
      <c r="E1029" s="13" t="n">
        <v>0.99751</v>
      </c>
      <c r="F1029" s="16" t="n">
        <f aca="false">IF(H1029=1,"",D1029/E1029)</f>
        <v>0.458621968702068</v>
      </c>
      <c r="G1029" s="17" t="n">
        <f aca="false">IF(H1029=1,"",D1029/E1029*Notas!$B$3)</f>
        <v>43.5690870266965</v>
      </c>
      <c r="H1029" s="13" t="n">
        <v>0</v>
      </c>
      <c r="I1029" s="17" t="n">
        <f aca="false">IF(H1029=1,D1029,G1029)</f>
        <v>43.5690870266965</v>
      </c>
    </row>
    <row r="1030" customFormat="false" ht="15" hidden="false" customHeight="false" outlineLevel="0" collapsed="false">
      <c r="A1030" s="13" t="s">
        <v>244</v>
      </c>
      <c r="B1030" s="13" t="s">
        <v>178</v>
      </c>
      <c r="C1030" s="13" t="s">
        <v>181</v>
      </c>
      <c r="D1030" s="15" t="n">
        <v>0.11005</v>
      </c>
      <c r="E1030" s="13" t="n">
        <v>0.99751</v>
      </c>
      <c r="F1030" s="16" t="n">
        <f aca="false">IF(H1030=1,"",D1030/E1030)</f>
        <v>0.110324708524225</v>
      </c>
      <c r="G1030" s="17" t="n">
        <f aca="false">IF(H1030=1,"",D1030/E1030*Notas!$B$3)</f>
        <v>10.4808473098014</v>
      </c>
      <c r="H1030" s="13" t="n">
        <v>0</v>
      </c>
      <c r="I1030" s="17" t="n">
        <f aca="false">IF(H1030=1,D1030,G1030)</f>
        <v>10.4808473098014</v>
      </c>
    </row>
    <row r="1031" customFormat="false" ht="15" hidden="false" customHeight="false" outlineLevel="0" collapsed="false">
      <c r="A1031" s="13" t="s">
        <v>244</v>
      </c>
      <c r="B1031" s="13" t="s">
        <v>178</v>
      </c>
      <c r="C1031" s="13" t="s">
        <v>73</v>
      </c>
      <c r="D1031" s="15" t="n">
        <v>0.05486</v>
      </c>
      <c r="E1031" s="13" t="n">
        <v>0.99751</v>
      </c>
      <c r="F1031" s="16" t="n">
        <f aca="false">IF(H1031=1,"",D1031/E1031)</f>
        <v>0.0549969423865425</v>
      </c>
      <c r="G1031" s="17" t="n">
        <f aca="false">IF(H1031=1,"",D1031/E1031*Notas!$B$3)</f>
        <v>5.22470952672154</v>
      </c>
      <c r="H1031" s="13" t="n">
        <v>0</v>
      </c>
      <c r="I1031" s="17" t="n">
        <f aca="false">IF(H1031=1,D1031,G1031)</f>
        <v>5.22470952672154</v>
      </c>
    </row>
    <row r="1032" customFormat="false" ht="15" hidden="false" customHeight="false" outlineLevel="0" collapsed="false">
      <c r="A1032" s="13" t="s">
        <v>244</v>
      </c>
      <c r="B1032" s="13" t="s">
        <v>69</v>
      </c>
      <c r="C1032" s="13" t="s">
        <v>70</v>
      </c>
      <c r="D1032" s="15" t="n">
        <v>0.33433</v>
      </c>
      <c r="E1032" s="13" t="n">
        <v>0.99751</v>
      </c>
      <c r="F1032" s="16" t="n">
        <f aca="false">IF(H1032=1,"",D1032/E1032)</f>
        <v>0.335164559753787</v>
      </c>
      <c r="G1032" s="17" t="n">
        <f aca="false">IF(H1032=1,"",D1032/E1032*Notas!$B$3)</f>
        <v>31.8406331766098</v>
      </c>
      <c r="H1032" s="13" t="n">
        <v>0</v>
      </c>
      <c r="I1032" s="17" t="n">
        <f aca="false">IF(H1032=1,D1032,G1032)</f>
        <v>31.8406331766098</v>
      </c>
    </row>
    <row r="1033" customFormat="false" ht="15" hidden="false" customHeight="false" outlineLevel="0" collapsed="false">
      <c r="A1033" s="13" t="s">
        <v>244</v>
      </c>
      <c r="B1033" s="13" t="s">
        <v>69</v>
      </c>
      <c r="C1033" s="13" t="s">
        <v>71</v>
      </c>
      <c r="D1033" s="15" t="n">
        <v>0.06908</v>
      </c>
      <c r="E1033" s="13" t="n">
        <v>0.99751</v>
      </c>
      <c r="F1033" s="16" t="n">
        <f aca="false">IF(H1033=1,"",D1033/E1033)</f>
        <v>0.0692524385720444</v>
      </c>
      <c r="G1033" s="17" t="n">
        <f aca="false">IF(H1033=1,"",D1033/E1033*Notas!$B$3)</f>
        <v>6.57898166434422</v>
      </c>
      <c r="H1033" s="13" t="n">
        <v>0</v>
      </c>
      <c r="I1033" s="17" t="n">
        <f aca="false">IF(H1033=1,D1033,G1033)</f>
        <v>6.57898166434422</v>
      </c>
    </row>
    <row r="1034" customFormat="false" ht="15" hidden="false" customHeight="false" outlineLevel="0" collapsed="false">
      <c r="A1034" s="13" t="s">
        <v>244</v>
      </c>
      <c r="B1034" s="13" t="s">
        <v>69</v>
      </c>
      <c r="C1034" s="13" t="s">
        <v>72</v>
      </c>
      <c r="D1034" s="15" t="n">
        <v>0.26525</v>
      </c>
      <c r="E1034" s="13" t="n">
        <v>0.99751</v>
      </c>
      <c r="F1034" s="16" t="n">
        <f aca="false">IF(H1034=1,"",D1034/E1034)</f>
        <v>0.265912121181743</v>
      </c>
      <c r="G1034" s="17" t="n">
        <f aca="false">IF(H1034=1,"",D1034/E1034*Notas!$B$3)</f>
        <v>25.2616515122655</v>
      </c>
      <c r="H1034" s="13" t="n">
        <v>0</v>
      </c>
      <c r="I1034" s="17" t="n">
        <f aca="false">IF(H1034=1,D1034,G1034)</f>
        <v>25.2616515122655</v>
      </c>
    </row>
    <row r="1035" customFormat="false" ht="15" hidden="false" customHeight="false" outlineLevel="0" collapsed="false">
      <c r="A1035" s="13" t="s">
        <v>244</v>
      </c>
      <c r="B1035" s="13" t="s">
        <v>69</v>
      </c>
      <c r="C1035" s="13" t="s">
        <v>73</v>
      </c>
      <c r="D1035" s="15" t="n">
        <v>0.35734</v>
      </c>
      <c r="E1035" s="13" t="n">
        <v>0.99751</v>
      </c>
      <c r="F1035" s="16" t="n">
        <f aca="false">IF(H1035=1,"",D1035/E1035)</f>
        <v>0.358231997674209</v>
      </c>
      <c r="G1035" s="17" t="n">
        <f aca="false">IF(H1035=1,"",D1035/E1035*Notas!$B$3)</f>
        <v>34.0320397790498</v>
      </c>
      <c r="H1035" s="13" t="n">
        <v>0</v>
      </c>
      <c r="I1035" s="17" t="n">
        <f aca="false">IF(H1035=1,D1035,G1035)</f>
        <v>34.0320397790498</v>
      </c>
    </row>
    <row r="1036" customFormat="false" ht="15" hidden="false" customHeight="false" outlineLevel="0" collapsed="false">
      <c r="A1036" s="13" t="s">
        <v>244</v>
      </c>
      <c r="B1036" s="13" t="s">
        <v>69</v>
      </c>
      <c r="C1036" s="13" t="s">
        <v>74</v>
      </c>
      <c r="D1036" s="15" t="n">
        <v>0.19658</v>
      </c>
      <c r="E1036" s="13" t="n">
        <v>0.99751</v>
      </c>
      <c r="F1036" s="16" t="n">
        <f aca="false">IF(H1036=1,"",D1036/E1036)</f>
        <v>0.197070706058085</v>
      </c>
      <c r="G1036" s="17" t="n">
        <f aca="false">IF(H1036=1,"",D1036/E1036*Notas!$B$3)</f>
        <v>18.721717075518</v>
      </c>
      <c r="H1036" s="13" t="n">
        <v>0</v>
      </c>
      <c r="I1036" s="17" t="n">
        <f aca="false">IF(H1036=1,D1036,G1036)</f>
        <v>18.721717075518</v>
      </c>
    </row>
    <row r="1037" customFormat="false" ht="15" hidden="false" customHeight="false" outlineLevel="0" collapsed="false">
      <c r="A1037" s="13" t="s">
        <v>244</v>
      </c>
      <c r="B1037" s="13" t="s">
        <v>75</v>
      </c>
      <c r="C1037" s="13" t="s">
        <v>76</v>
      </c>
      <c r="D1037" s="15" t="n">
        <v>0.19519</v>
      </c>
      <c r="E1037" s="13" t="n">
        <v>0.99751</v>
      </c>
      <c r="F1037" s="16" t="n">
        <f aca="false">IF(H1037=1,"",D1037/E1037)</f>
        <v>0.195677236318433</v>
      </c>
      <c r="G1037" s="17" t="n">
        <f aca="false">IF(H1037=1,"",D1037/E1037*Notas!$B$3)</f>
        <v>18.5893374502511</v>
      </c>
      <c r="H1037" s="13" t="n">
        <v>0</v>
      </c>
      <c r="I1037" s="17" t="n">
        <f aca="false">IF(H1037=1,D1037,G1037)</f>
        <v>18.5893374502511</v>
      </c>
    </row>
    <row r="1038" customFormat="false" ht="15" hidden="false" customHeight="false" outlineLevel="0" collapsed="false">
      <c r="A1038" s="13" t="s">
        <v>244</v>
      </c>
      <c r="B1038" s="13" t="s">
        <v>75</v>
      </c>
      <c r="C1038" s="13" t="s">
        <v>77</v>
      </c>
      <c r="D1038" s="15" t="n">
        <v>0.19519</v>
      </c>
      <c r="E1038" s="13" t="n">
        <v>0.99751</v>
      </c>
      <c r="F1038" s="16" t="n">
        <f aca="false">IF(H1038=1,"",D1038/E1038)</f>
        <v>0.195677236318433</v>
      </c>
      <c r="G1038" s="17" t="n">
        <f aca="false">IF(H1038=1,"",D1038/E1038*Notas!$B$3)</f>
        <v>18.5893374502511</v>
      </c>
      <c r="H1038" s="13" t="n">
        <v>0</v>
      </c>
      <c r="I1038" s="17" t="n">
        <f aca="false">IF(H1038=1,D1038,G1038)</f>
        <v>18.5893374502511</v>
      </c>
    </row>
    <row r="1039" customFormat="false" ht="15" hidden="false" customHeight="false" outlineLevel="0" collapsed="false">
      <c r="A1039" s="13" t="s">
        <v>244</v>
      </c>
      <c r="B1039" s="13" t="s">
        <v>75</v>
      </c>
      <c r="C1039" s="13" t="s">
        <v>78</v>
      </c>
      <c r="D1039" s="15" t="n">
        <v>0.36341</v>
      </c>
      <c r="E1039" s="13" t="n">
        <v>0.99751</v>
      </c>
      <c r="F1039" s="16" t="n">
        <f aca="false">IF(H1039=1,"",D1039/E1039)</f>
        <v>0.36431714970276</v>
      </c>
      <c r="G1039" s="17" t="n">
        <f aca="false">IF(H1039=1,"",D1039/E1039*Notas!$B$3)</f>
        <v>34.6101292217622</v>
      </c>
      <c r="H1039" s="13" t="n">
        <v>0</v>
      </c>
      <c r="I1039" s="17" t="n">
        <f aca="false">IF(H1039=1,D1039,G1039)</f>
        <v>34.6101292217622</v>
      </c>
    </row>
    <row r="1040" customFormat="false" ht="15" hidden="false" customHeight="false" outlineLevel="0" collapsed="false">
      <c r="A1040" s="13" t="s">
        <v>244</v>
      </c>
      <c r="B1040" s="13" t="s">
        <v>35</v>
      </c>
      <c r="C1040" s="13" t="s">
        <v>79</v>
      </c>
      <c r="D1040" s="15" t="n">
        <v>19.56822</v>
      </c>
      <c r="E1040" s="13" t="n">
        <v>0.99751</v>
      </c>
      <c r="F1040" s="16" t="str">
        <f aca="false">IF(H1040=1,"",D1040/E1040)</f>
        <v/>
      </c>
      <c r="G1040" s="17" t="str">
        <f aca="false">IF(H1040=1,"",D1040/E1040*Notas!$B$3)</f>
        <v/>
      </c>
      <c r="H1040" s="13" t="n">
        <v>1</v>
      </c>
      <c r="I1040" s="17" t="n">
        <f aca="false">IF(H1040=1,D1040,G1040)</f>
        <v>19.56822</v>
      </c>
    </row>
    <row r="1041" customFormat="false" ht="15" hidden="false" customHeight="false" outlineLevel="0" collapsed="false">
      <c r="A1041" s="13" t="s">
        <v>244</v>
      </c>
      <c r="B1041" s="13" t="s">
        <v>35</v>
      </c>
      <c r="C1041" s="13" t="s">
        <v>80</v>
      </c>
      <c r="D1041" s="15" t="n">
        <v>36.43178</v>
      </c>
      <c r="E1041" s="13" t="n">
        <v>0.99751</v>
      </c>
      <c r="F1041" s="16" t="str">
        <f aca="false">IF(H1041=1,"",D1041/E1041)</f>
        <v/>
      </c>
      <c r="G1041" s="17" t="str">
        <f aca="false">IF(H1041=1,"",D1041/E1041*Notas!$B$3)</f>
        <v/>
      </c>
      <c r="H1041" s="13" t="n">
        <v>1</v>
      </c>
      <c r="I1041" s="17" t="n">
        <f aca="false">IF(H1041=1,D1041,G1041)</f>
        <v>36.43178</v>
      </c>
    </row>
    <row r="1042" customFormat="false" ht="15" hidden="false" customHeight="false" outlineLevel="0" collapsed="false">
      <c r="A1042" s="13" t="s">
        <v>244</v>
      </c>
      <c r="B1042" s="13" t="s">
        <v>75</v>
      </c>
      <c r="C1042" s="13" t="s">
        <v>81</v>
      </c>
      <c r="D1042" s="15" t="n">
        <v>0.1359</v>
      </c>
      <c r="E1042" s="13" t="n">
        <v>0.99751</v>
      </c>
      <c r="F1042" s="16" t="n">
        <f aca="false">IF(H1042=1,"",D1042/E1042)</f>
        <v>0.136239235696885</v>
      </c>
      <c r="G1042" s="17" t="n">
        <f aca="false">IF(H1042=1,"",D1042/E1042*Notas!$B$3)</f>
        <v>12.9427273912041</v>
      </c>
      <c r="H1042" s="13" t="n">
        <v>0</v>
      </c>
      <c r="I1042" s="17" t="n">
        <f aca="false">IF(H1042=1,D1042,G1042)</f>
        <v>12.9427273912041</v>
      </c>
    </row>
    <row r="1043" customFormat="false" ht="15" hidden="false" customHeight="false" outlineLevel="0" collapsed="false">
      <c r="A1043" s="13" t="s">
        <v>244</v>
      </c>
      <c r="B1043" s="13" t="s">
        <v>75</v>
      </c>
      <c r="C1043" s="13" t="s">
        <v>82</v>
      </c>
      <c r="D1043" s="15" t="n">
        <v>0.13748</v>
      </c>
      <c r="E1043" s="13" t="n">
        <v>0.99751</v>
      </c>
      <c r="F1043" s="16" t="n">
        <f aca="false">IF(H1043=1,"",D1043/E1043)</f>
        <v>0.137823179717497</v>
      </c>
      <c r="G1043" s="17" t="n">
        <f aca="false">IF(H1043=1,"",D1043/E1043*Notas!$B$3)</f>
        <v>13.0932020731622</v>
      </c>
      <c r="H1043" s="13" t="n">
        <v>0</v>
      </c>
      <c r="I1043" s="17" t="n">
        <f aca="false">IF(H1043=1,D1043,G1043)</f>
        <v>13.0932020731622</v>
      </c>
    </row>
    <row r="1044" customFormat="false" ht="15" hidden="false" customHeight="false" outlineLevel="0" collapsed="false">
      <c r="A1044" s="13" t="s">
        <v>244</v>
      </c>
      <c r="B1044" s="13" t="s">
        <v>75</v>
      </c>
      <c r="C1044" s="13" t="s">
        <v>83</v>
      </c>
      <c r="D1044" s="15" t="n">
        <v>0.42009</v>
      </c>
      <c r="E1044" s="13" t="n">
        <v>0.99751</v>
      </c>
      <c r="F1044" s="16" t="n">
        <f aca="false">IF(H1044=1,"",D1044/E1044)</f>
        <v>0.421138635201652</v>
      </c>
      <c r="G1044" s="17" t="n">
        <f aca="false">IF(H1044=1,"",D1044/E1044*Notas!$B$3)</f>
        <v>40.008170344157</v>
      </c>
      <c r="H1044" s="13" t="n">
        <v>0</v>
      </c>
      <c r="I1044" s="17" t="n">
        <f aca="false">IF(H1044=1,D1044,G1044)</f>
        <v>40.008170344157</v>
      </c>
    </row>
    <row r="1045" customFormat="false" ht="15" hidden="false" customHeight="false" outlineLevel="0" collapsed="false">
      <c r="A1045" s="13" t="s">
        <v>244</v>
      </c>
      <c r="B1045" s="13" t="s">
        <v>75</v>
      </c>
      <c r="C1045" s="13" t="s">
        <v>84</v>
      </c>
      <c r="D1045" s="15" t="n">
        <v>0.1273</v>
      </c>
      <c r="E1045" s="13" t="n">
        <v>0.99751</v>
      </c>
      <c r="F1045" s="16" t="n">
        <f aca="false">IF(H1045=1,"",D1045/E1045)</f>
        <v>0.127617768242925</v>
      </c>
      <c r="G1045" s="17" t="n">
        <f aca="false">IF(H1045=1,"",D1045/E1045*Notas!$B$3)</f>
        <v>12.1236879830779</v>
      </c>
      <c r="H1045" s="13" t="n">
        <v>0</v>
      </c>
      <c r="I1045" s="17" t="n">
        <f aca="false">IF(H1045=1,D1045,G1045)</f>
        <v>12.1236879830779</v>
      </c>
    </row>
    <row r="1046" customFormat="false" ht="15" hidden="false" customHeight="false" outlineLevel="0" collapsed="false">
      <c r="A1046" s="13" t="s">
        <v>244</v>
      </c>
      <c r="B1046" s="13" t="s">
        <v>75</v>
      </c>
      <c r="C1046" s="13" t="s">
        <v>85</v>
      </c>
      <c r="D1046" s="15" t="n">
        <v>0.11694</v>
      </c>
      <c r="E1046" s="13" t="n">
        <v>0.99751</v>
      </c>
      <c r="F1046" s="16" t="n">
        <f aca="false">IF(H1046=1,"",D1046/E1046)</f>
        <v>0.117231907449549</v>
      </c>
      <c r="G1046" s="17" t="n">
        <f aca="false">IF(H1046=1,"",D1046/E1046*Notas!$B$3)</f>
        <v>11.1370312077072</v>
      </c>
      <c r="H1046" s="13" t="n">
        <v>0</v>
      </c>
      <c r="I1046" s="17" t="n">
        <f aca="false">IF(H1046=1,D1046,G1046)</f>
        <v>11.1370312077072</v>
      </c>
    </row>
    <row r="1047" customFormat="false" ht="15" hidden="false" customHeight="false" outlineLevel="0" collapsed="false">
      <c r="A1047" s="13" t="s">
        <v>244</v>
      </c>
      <c r="B1047" s="13" t="s">
        <v>75</v>
      </c>
      <c r="C1047" s="13" t="s">
        <v>86</v>
      </c>
      <c r="D1047" s="15" t="n">
        <v>0.38905</v>
      </c>
      <c r="E1047" s="13" t="n">
        <v>0.99751</v>
      </c>
      <c r="F1047" s="16" t="n">
        <f aca="false">IF(H1047=1,"",D1047/E1047)</f>
        <v>0.390021152670149</v>
      </c>
      <c r="G1047" s="17" t="n">
        <f aca="false">IF(H1047=1,"",D1047/E1047*Notas!$B$3)</f>
        <v>37.0520095036641</v>
      </c>
      <c r="H1047" s="13" t="n">
        <v>0</v>
      </c>
      <c r="I1047" s="17" t="n">
        <f aca="false">IF(H1047=1,D1047,G1047)</f>
        <v>37.0520095036641</v>
      </c>
    </row>
    <row r="1048" customFormat="false" ht="15" hidden="false" customHeight="false" outlineLevel="0" collapsed="false">
      <c r="A1048" s="13" t="s">
        <v>244</v>
      </c>
      <c r="B1048" s="13" t="s">
        <v>75</v>
      </c>
      <c r="C1048" s="13" t="s">
        <v>87</v>
      </c>
      <c r="D1048" s="15" t="n">
        <v>0.04288</v>
      </c>
      <c r="E1048" s="13" t="n">
        <v>0.99751</v>
      </c>
      <c r="F1048" s="16" t="n">
        <f aca="false">IF(H1048=1,"",D1048/E1048)</f>
        <v>0.0429870377239326</v>
      </c>
      <c r="G1048" s="17" t="n">
        <f aca="false">IF(H1048=1,"",D1048/E1048*Notas!$B$3)</f>
        <v>4.0837685837736</v>
      </c>
      <c r="H1048" s="13" t="n">
        <v>0</v>
      </c>
      <c r="I1048" s="17" t="n">
        <f aca="false">IF(H1048=1,D1048,G1048)</f>
        <v>4.0837685837736</v>
      </c>
    </row>
    <row r="1049" customFormat="false" ht="15" hidden="false" customHeight="false" outlineLevel="0" collapsed="false">
      <c r="A1049" s="13" t="s">
        <v>244</v>
      </c>
      <c r="B1049" s="13" t="s">
        <v>75</v>
      </c>
      <c r="C1049" s="13" t="s">
        <v>88</v>
      </c>
      <c r="D1049" s="15" t="n">
        <v>0.15829</v>
      </c>
      <c r="E1049" s="13" t="n">
        <v>0.99751</v>
      </c>
      <c r="F1049" s="16" t="n">
        <f aca="false">IF(H1049=1,"",D1049/E1049)</f>
        <v>0.158685125963649</v>
      </c>
      <c r="G1049" s="17" t="n">
        <f aca="false">IF(H1049=1,"",D1049/E1049*Notas!$B$3)</f>
        <v>15.0750869665467</v>
      </c>
      <c r="H1049" s="13" t="n">
        <v>0</v>
      </c>
      <c r="I1049" s="17" t="n">
        <f aca="false">IF(H1049=1,D1049,G1049)</f>
        <v>15.0750869665467</v>
      </c>
    </row>
    <row r="1050" customFormat="false" ht="15" hidden="false" customHeight="false" outlineLevel="0" collapsed="false">
      <c r="A1050" s="13" t="s">
        <v>244</v>
      </c>
      <c r="B1050" s="13" t="s">
        <v>75</v>
      </c>
      <c r="C1050" s="13" t="s">
        <v>89</v>
      </c>
      <c r="D1050" s="15" t="n">
        <v>0.13655</v>
      </c>
      <c r="E1050" s="13" t="n">
        <v>0.99751</v>
      </c>
      <c r="F1050" s="16" t="n">
        <f aca="false">IF(H1050=1,"",D1050/E1050)</f>
        <v>0.13689085823701</v>
      </c>
      <c r="G1050" s="17" t="n">
        <f aca="false">IF(H1050=1,"",D1050/E1050*Notas!$B$3)</f>
        <v>13.004631532516</v>
      </c>
      <c r="H1050" s="13" t="n">
        <v>0</v>
      </c>
      <c r="I1050" s="17" t="n">
        <f aca="false">IF(H1050=1,D1050,G1050)</f>
        <v>13.004631532516</v>
      </c>
    </row>
    <row r="1051" customFormat="false" ht="15" hidden="false" customHeight="false" outlineLevel="0" collapsed="false">
      <c r="A1051" s="13" t="s">
        <v>244</v>
      </c>
      <c r="B1051" s="13" t="s">
        <v>75</v>
      </c>
      <c r="C1051" s="13" t="s">
        <v>90</v>
      </c>
      <c r="D1051" s="15" t="n">
        <v>0.52668</v>
      </c>
      <c r="E1051" s="13" t="n">
        <v>0.99751</v>
      </c>
      <c r="F1051" s="16" t="n">
        <f aca="false">IF(H1051=1,"",D1051/E1051)</f>
        <v>0.527994706819982</v>
      </c>
      <c r="G1051" s="17" t="n">
        <f aca="false">IF(H1051=1,"",D1051/E1051*Notas!$B$3)</f>
        <v>50.1594971478983</v>
      </c>
      <c r="H1051" s="13" t="n">
        <v>0</v>
      </c>
      <c r="I1051" s="17" t="n">
        <f aca="false">IF(H1051=1,D1051,G1051)</f>
        <v>50.1594971478983</v>
      </c>
    </row>
    <row r="1052" customFormat="false" ht="15" hidden="false" customHeight="false" outlineLevel="0" collapsed="false">
      <c r="A1052" s="13" t="s">
        <v>244</v>
      </c>
      <c r="B1052" s="13" t="s">
        <v>75</v>
      </c>
      <c r="C1052" s="13" t="s">
        <v>91</v>
      </c>
      <c r="D1052" s="15" t="n">
        <v>0.13996</v>
      </c>
      <c r="E1052" s="13" t="n">
        <v>0.99751</v>
      </c>
      <c r="F1052" s="16" t="n">
        <f aca="false">IF(H1052=1,"",D1052/E1052)</f>
        <v>0.140309370332127</v>
      </c>
      <c r="G1052" s="17" t="n">
        <f aca="false">IF(H1052=1,"",D1052/E1052*Notas!$B$3)</f>
        <v>13.3293901815521</v>
      </c>
      <c r="H1052" s="13" t="n">
        <v>0</v>
      </c>
      <c r="I1052" s="17" t="n">
        <f aca="false">IF(H1052=1,D1052,G1052)</f>
        <v>13.3293901815521</v>
      </c>
    </row>
    <row r="1053" customFormat="false" ht="15" hidden="false" customHeight="false" outlineLevel="0" collapsed="false">
      <c r="A1053" s="13" t="s">
        <v>244</v>
      </c>
      <c r="B1053" s="13" t="s">
        <v>75</v>
      </c>
      <c r="C1053" s="13" t="s">
        <v>92</v>
      </c>
      <c r="D1053" s="15" t="n">
        <v>0.12331</v>
      </c>
      <c r="E1053" s="13" t="n">
        <v>0.99751</v>
      </c>
      <c r="F1053" s="16" t="n">
        <f aca="false">IF(H1053=1,"",D1053/E1053)</f>
        <v>0.123617808342774</v>
      </c>
      <c r="G1053" s="17" t="n">
        <f aca="false">IF(H1053=1,"",D1053/E1053*Notas!$B$3)</f>
        <v>11.7436917925635</v>
      </c>
      <c r="H1053" s="13" t="n">
        <v>0</v>
      </c>
      <c r="I1053" s="17" t="n">
        <f aca="false">IF(H1053=1,D1053,G1053)</f>
        <v>11.7436917925635</v>
      </c>
    </row>
    <row r="1054" customFormat="false" ht="15" hidden="false" customHeight="false" outlineLevel="0" collapsed="false">
      <c r="A1054" s="13" t="s">
        <v>244</v>
      </c>
      <c r="B1054" s="13" t="s">
        <v>75</v>
      </c>
      <c r="C1054" s="13" t="s">
        <v>93</v>
      </c>
      <c r="D1054" s="15" t="n">
        <v>0.41782</v>
      </c>
      <c r="E1054" s="13" t="n">
        <v>0.99751</v>
      </c>
      <c r="F1054" s="16" t="n">
        <f aca="false">IF(H1054=1,"",D1054/E1054)</f>
        <v>0.418862968792293</v>
      </c>
      <c r="G1054" s="17" t="n">
        <f aca="false">IF(H1054=1,"",D1054/E1054*Notas!$B$3)</f>
        <v>39.7919820352678</v>
      </c>
      <c r="H1054" s="13" t="n">
        <v>0</v>
      </c>
      <c r="I1054" s="17" t="n">
        <f aca="false">IF(H1054=1,D1054,G1054)</f>
        <v>39.7919820352678</v>
      </c>
    </row>
    <row r="1055" customFormat="false" ht="15" hidden="false" customHeight="false" outlineLevel="0" collapsed="false">
      <c r="A1055" s="13" t="s">
        <v>244</v>
      </c>
      <c r="B1055" s="13" t="s">
        <v>75</v>
      </c>
      <c r="C1055" s="13" t="s">
        <v>94</v>
      </c>
      <c r="D1055" s="15" t="n">
        <v>0.05501</v>
      </c>
      <c r="E1055" s="13" t="n">
        <v>0.99751</v>
      </c>
      <c r="F1055" s="16" t="n">
        <f aca="false">IF(H1055=1,"",D1055/E1055)</f>
        <v>0.055147316818879</v>
      </c>
      <c r="G1055" s="17" t="n">
        <f aca="false">IF(H1055=1,"",D1055/E1055*Notas!$B$3)</f>
        <v>5.23899509779351</v>
      </c>
      <c r="H1055" s="13" t="n">
        <v>0</v>
      </c>
      <c r="I1055" s="17" t="n">
        <f aca="false">IF(H1055=1,D1055,G1055)</f>
        <v>5.23899509779351</v>
      </c>
    </row>
    <row r="1056" customFormat="false" ht="15" hidden="false" customHeight="false" outlineLevel="0" collapsed="false">
      <c r="A1056" s="13" t="s">
        <v>244</v>
      </c>
      <c r="B1056" s="13" t="s">
        <v>75</v>
      </c>
      <c r="C1056" s="13" t="s">
        <v>95</v>
      </c>
      <c r="D1056" s="15" t="n">
        <v>0.20454</v>
      </c>
      <c r="E1056" s="13" t="n">
        <v>0.99751</v>
      </c>
      <c r="F1056" s="16" t="n">
        <f aca="false">IF(H1056=1,"",D1056/E1056)</f>
        <v>0.205050575934076</v>
      </c>
      <c r="G1056" s="17" t="n">
        <f aca="false">IF(H1056=1,"",D1056/E1056*Notas!$B$3)</f>
        <v>19.4798047137372</v>
      </c>
      <c r="H1056" s="13" t="n">
        <v>0</v>
      </c>
      <c r="I1056" s="17" t="n">
        <f aca="false">IF(H1056=1,D1056,G1056)</f>
        <v>19.4798047137372</v>
      </c>
    </row>
    <row r="1057" customFormat="false" ht="15" hidden="false" customHeight="false" outlineLevel="0" collapsed="false">
      <c r="A1057" s="13" t="s">
        <v>244</v>
      </c>
      <c r="B1057" s="13" t="s">
        <v>75</v>
      </c>
      <c r="C1057" s="13" t="s">
        <v>96</v>
      </c>
      <c r="D1057" s="15" t="n">
        <v>0.22724</v>
      </c>
      <c r="E1057" s="13" t="n">
        <v>0.99751</v>
      </c>
      <c r="F1057" s="16" t="n">
        <f aca="false">IF(H1057=1,"",D1057/E1057)</f>
        <v>0.227807240027669</v>
      </c>
      <c r="G1057" s="17" t="n">
        <f aca="false">IF(H1057=1,"",D1057/E1057*Notas!$B$3)</f>
        <v>21.6416878026285</v>
      </c>
      <c r="H1057" s="13" t="n">
        <v>0</v>
      </c>
      <c r="I1057" s="17" t="n">
        <f aca="false">IF(H1057=1,D1057,G1057)</f>
        <v>21.6416878026285</v>
      </c>
    </row>
    <row r="1058" customFormat="false" ht="15" hidden="false" customHeight="false" outlineLevel="0" collapsed="false">
      <c r="A1058" s="13" t="s">
        <v>244</v>
      </c>
      <c r="B1058" s="13" t="s">
        <v>75</v>
      </c>
      <c r="C1058" s="13" t="s">
        <v>97</v>
      </c>
      <c r="D1058" s="15" t="n">
        <v>0.65142</v>
      </c>
      <c r="E1058" s="13" t="n">
        <v>0.99751</v>
      </c>
      <c r="F1058" s="16" t="n">
        <f aca="false">IF(H1058=1,"",D1058/E1058)</f>
        <v>0.65304608475103</v>
      </c>
      <c r="G1058" s="17" t="n">
        <f aca="false">IF(H1058=1,"",D1058/E1058*Notas!$B$3)</f>
        <v>62.0393780513479</v>
      </c>
      <c r="H1058" s="13" t="n">
        <v>0</v>
      </c>
      <c r="I1058" s="17" t="n">
        <f aca="false">IF(H1058=1,D1058,G1058)</f>
        <v>62.0393780513479</v>
      </c>
    </row>
    <row r="1059" customFormat="false" ht="15" hidden="false" customHeight="false" outlineLevel="0" collapsed="false">
      <c r="A1059" s="13" t="s">
        <v>244</v>
      </c>
      <c r="B1059" s="13" t="s">
        <v>75</v>
      </c>
      <c r="C1059" s="13" t="s">
        <v>98</v>
      </c>
      <c r="D1059" s="15" t="n">
        <v>0.17712</v>
      </c>
      <c r="E1059" s="13" t="n">
        <v>0.99751</v>
      </c>
      <c r="F1059" s="16" t="n">
        <f aca="false">IF(H1059=1,"",D1059/E1059)</f>
        <v>0.17756212970296</v>
      </c>
      <c r="G1059" s="17" t="n">
        <f aca="false">IF(H1059=1,"",D1059/E1059*Notas!$B$3)</f>
        <v>16.8684023217812</v>
      </c>
      <c r="H1059" s="13" t="n">
        <v>0</v>
      </c>
      <c r="I1059" s="17" t="n">
        <f aca="false">IF(H1059=1,D1059,G1059)</f>
        <v>16.8684023217812</v>
      </c>
    </row>
    <row r="1060" customFormat="false" ht="15" hidden="false" customHeight="false" outlineLevel="0" collapsed="false">
      <c r="A1060" s="13" t="s">
        <v>244</v>
      </c>
      <c r="B1060" s="13" t="s">
        <v>75</v>
      </c>
      <c r="C1060" s="13" t="s">
        <v>99</v>
      </c>
      <c r="D1060" s="15" t="n">
        <v>0.23906</v>
      </c>
      <c r="E1060" s="13" t="n">
        <v>0.99751</v>
      </c>
      <c r="F1060" s="16" t="n">
        <f aca="false">IF(H1060=1,"",D1060/E1060)</f>
        <v>0.239656745295787</v>
      </c>
      <c r="G1060" s="17" t="n">
        <f aca="false">IF(H1060=1,"",D1060/E1060*Notas!$B$3)</f>
        <v>22.7673908030997</v>
      </c>
      <c r="H1060" s="13" t="n">
        <v>0</v>
      </c>
      <c r="I1060" s="17" t="n">
        <f aca="false">IF(H1060=1,D1060,G1060)</f>
        <v>22.7673908030997</v>
      </c>
    </row>
    <row r="1061" customFormat="false" ht="15" hidden="false" customHeight="false" outlineLevel="0" collapsed="false">
      <c r="A1061" s="13" t="s">
        <v>244</v>
      </c>
      <c r="B1061" s="13" t="s">
        <v>75</v>
      </c>
      <c r="C1061" s="13" t="s">
        <v>100</v>
      </c>
      <c r="D1061" s="15" t="n">
        <v>0.67492</v>
      </c>
      <c r="E1061" s="13" t="n">
        <v>0.99751</v>
      </c>
      <c r="F1061" s="16" t="n">
        <f aca="false">IF(H1061=1,"",D1061/E1061)</f>
        <v>0.676604745817085</v>
      </c>
      <c r="G1061" s="17" t="n">
        <f aca="false">IF(H1061=1,"",D1061/E1061*Notas!$B$3)</f>
        <v>64.277450852623</v>
      </c>
      <c r="H1061" s="13" t="n">
        <v>0</v>
      </c>
      <c r="I1061" s="17" t="n">
        <f aca="false">IF(H1061=1,D1061,G1061)</f>
        <v>64.277450852623</v>
      </c>
    </row>
    <row r="1062" customFormat="false" ht="15" hidden="false" customHeight="false" outlineLevel="0" collapsed="false">
      <c r="A1062" s="13" t="s">
        <v>244</v>
      </c>
      <c r="B1062" s="13" t="s">
        <v>75</v>
      </c>
      <c r="C1062" s="13" t="s">
        <v>101</v>
      </c>
      <c r="D1062" s="15" t="n">
        <v>0.04686</v>
      </c>
      <c r="E1062" s="13" t="n">
        <v>0.99751</v>
      </c>
      <c r="F1062" s="16" t="n">
        <f aca="false">IF(H1062=1,"",D1062/E1062)</f>
        <v>0.0469769726619282</v>
      </c>
      <c r="G1062" s="17" t="n">
        <f aca="false">IF(H1062=1,"",D1062/E1062*Notas!$B$3)</f>
        <v>4.46281240288318</v>
      </c>
      <c r="H1062" s="13" t="n">
        <v>0</v>
      </c>
      <c r="I1062" s="17" t="n">
        <f aca="false">IF(H1062=1,D1062,G1062)</f>
        <v>4.46281240288318</v>
      </c>
    </row>
    <row r="1063" customFormat="false" ht="15" hidden="false" customHeight="false" outlineLevel="0" collapsed="false">
      <c r="A1063" s="13" t="s">
        <v>244</v>
      </c>
      <c r="B1063" s="13" t="s">
        <v>102</v>
      </c>
      <c r="C1063" s="13" t="s">
        <v>103</v>
      </c>
      <c r="D1063" s="15" t="n">
        <v>0.24308</v>
      </c>
      <c r="E1063" s="13" t="n">
        <v>0.99751</v>
      </c>
      <c r="F1063" s="16" t="n">
        <f aca="false">IF(H1063=1,"",D1063/E1063)</f>
        <v>0.243686780082405</v>
      </c>
      <c r="G1063" s="17" t="n">
        <f aca="false">IF(H1063=1,"",D1063/E1063*Notas!$B$3)</f>
        <v>23.1502441078285</v>
      </c>
      <c r="H1063" s="13" t="n">
        <v>0</v>
      </c>
      <c r="I1063" s="17" t="n">
        <f aca="false">IF(H1063=1,D1063,G1063)</f>
        <v>23.1502441078285</v>
      </c>
    </row>
    <row r="1064" customFormat="false" ht="15" hidden="false" customHeight="false" outlineLevel="0" collapsed="false">
      <c r="A1064" s="13" t="s">
        <v>244</v>
      </c>
      <c r="B1064" s="13" t="s">
        <v>102</v>
      </c>
      <c r="C1064" s="13" t="s">
        <v>104</v>
      </c>
      <c r="D1064" s="15" t="n">
        <v>0.21777</v>
      </c>
      <c r="E1064" s="13" t="n">
        <v>0.99751</v>
      </c>
      <c r="F1064" s="16" t="n">
        <f aca="false">IF(H1064=1,"",D1064/E1064)</f>
        <v>0.218313600866157</v>
      </c>
      <c r="G1064" s="17" t="n">
        <f aca="false">IF(H1064=1,"",D1064/E1064*Notas!$B$3)</f>
        <v>20.7397920822849</v>
      </c>
      <c r="H1064" s="13" t="n">
        <v>0</v>
      </c>
      <c r="I1064" s="17" t="n">
        <f aca="false">IF(H1064=1,D1064,G1064)</f>
        <v>20.7397920822849</v>
      </c>
    </row>
    <row r="1065" customFormat="false" ht="15" hidden="false" customHeight="false" outlineLevel="0" collapsed="false">
      <c r="A1065" s="13" t="s">
        <v>244</v>
      </c>
      <c r="B1065" s="13" t="s">
        <v>102</v>
      </c>
      <c r="C1065" s="13" t="s">
        <v>105</v>
      </c>
      <c r="D1065" s="15" t="n">
        <v>0.0945</v>
      </c>
      <c r="E1065" s="13" t="n">
        <v>0.99751</v>
      </c>
      <c r="F1065" s="16" t="n">
        <f aca="false">IF(H1065=1,"",D1065/E1065)</f>
        <v>0.0947358923720063</v>
      </c>
      <c r="G1065" s="17" t="n">
        <f aca="false">IF(H1065=1,"",D1065/E1065*Notas!$B$3)</f>
        <v>8.9999097753406</v>
      </c>
      <c r="H1065" s="13" t="n">
        <v>0</v>
      </c>
      <c r="I1065" s="17" t="n">
        <f aca="false">IF(H1065=1,D1065,G1065)</f>
        <v>8.9999097753406</v>
      </c>
    </row>
    <row r="1066" customFormat="false" ht="15" hidden="false" customHeight="false" outlineLevel="0" collapsed="false">
      <c r="A1066" s="13" t="s">
        <v>244</v>
      </c>
      <c r="B1066" s="13" t="s">
        <v>102</v>
      </c>
      <c r="C1066" s="13" t="s">
        <v>106</v>
      </c>
      <c r="D1066" s="15" t="n">
        <v>-0.11742</v>
      </c>
      <c r="E1066" s="13" t="n">
        <v>0.99751</v>
      </c>
      <c r="F1066" s="16" t="n">
        <f aca="false">IF(H1066=1,"",D1066/E1066)</f>
        <v>-0.117713105633026</v>
      </c>
      <c r="G1066" s="17" t="n">
        <f aca="false">IF(H1066=1,"",D1066/E1066*Notas!$B$3)</f>
        <v>-11.1827450351375</v>
      </c>
      <c r="H1066" s="13" t="n">
        <v>0</v>
      </c>
      <c r="I1066" s="17" t="n">
        <f aca="false">IF(H1066=1,D1066,G1066)</f>
        <v>-11.1827450351375</v>
      </c>
    </row>
    <row r="1067" customFormat="false" ht="15" hidden="false" customHeight="false" outlineLevel="0" collapsed="false">
      <c r="A1067" s="13" t="s">
        <v>244</v>
      </c>
      <c r="B1067" s="13" t="s">
        <v>102</v>
      </c>
      <c r="C1067" s="13" t="s">
        <v>107</v>
      </c>
      <c r="D1067" s="15" t="n">
        <v>0.25529</v>
      </c>
      <c r="E1067" s="13" t="n">
        <v>0.99751</v>
      </c>
      <c r="F1067" s="16" t="n">
        <f aca="false">IF(H1067=1,"",D1067/E1067)</f>
        <v>0.255927258874598</v>
      </c>
      <c r="G1067" s="17" t="n">
        <f aca="false">IF(H1067=1,"",D1067/E1067*Notas!$B$3)</f>
        <v>24.3130895930868</v>
      </c>
      <c r="H1067" s="13" t="n">
        <v>0</v>
      </c>
      <c r="I1067" s="17" t="n">
        <f aca="false">IF(H1067=1,D1067,G1067)</f>
        <v>24.3130895930868</v>
      </c>
    </row>
    <row r="1068" customFormat="false" ht="15" hidden="false" customHeight="false" outlineLevel="0" collapsed="false">
      <c r="A1068" s="13" t="s">
        <v>244</v>
      </c>
      <c r="B1068" s="13" t="s">
        <v>102</v>
      </c>
      <c r="C1068" s="13" t="s">
        <v>108</v>
      </c>
      <c r="D1068" s="15" t="n">
        <v>0.19092</v>
      </c>
      <c r="E1068" s="13" t="n">
        <v>0.99751</v>
      </c>
      <c r="F1068" s="16" t="n">
        <f aca="false">IF(H1068=1,"",D1068/E1068)</f>
        <v>0.19139657747792</v>
      </c>
      <c r="G1068" s="17" t="n">
        <f aca="false">IF(H1068=1,"",D1068/E1068*Notas!$B$3)</f>
        <v>18.1826748604024</v>
      </c>
      <c r="H1068" s="13" t="n">
        <v>0</v>
      </c>
      <c r="I1068" s="17" t="n">
        <f aca="false">IF(H1068=1,D1068,G1068)</f>
        <v>18.1826748604024</v>
      </c>
    </row>
    <row r="1069" customFormat="false" ht="15" hidden="false" customHeight="false" outlineLevel="0" collapsed="false">
      <c r="A1069" s="13" t="s">
        <v>244</v>
      </c>
      <c r="B1069" s="13" t="s">
        <v>102</v>
      </c>
      <c r="C1069" s="13" t="s">
        <v>109</v>
      </c>
      <c r="D1069" s="15" t="n">
        <v>0.1197</v>
      </c>
      <c r="E1069" s="13" t="n">
        <v>0.99751</v>
      </c>
      <c r="F1069" s="16" t="n">
        <f aca="false">IF(H1069=1,"",D1069/E1069)</f>
        <v>0.119998797004541</v>
      </c>
      <c r="G1069" s="17" t="n">
        <f aca="false">IF(H1069=1,"",D1069/E1069*Notas!$B$3)</f>
        <v>11.3998857154314</v>
      </c>
      <c r="H1069" s="13" t="n">
        <v>0</v>
      </c>
      <c r="I1069" s="17" t="n">
        <f aca="false">IF(H1069=1,D1069,G1069)</f>
        <v>11.3998857154314</v>
      </c>
    </row>
    <row r="1070" customFormat="false" ht="15" hidden="false" customHeight="false" outlineLevel="0" collapsed="false">
      <c r="A1070" s="13" t="s">
        <v>244</v>
      </c>
      <c r="B1070" s="13" t="s">
        <v>102</v>
      </c>
      <c r="C1070" s="13" t="s">
        <v>110</v>
      </c>
      <c r="D1070" s="15" t="n">
        <v>0.13024</v>
      </c>
      <c r="E1070" s="13" t="n">
        <v>0.99751</v>
      </c>
      <c r="F1070" s="16" t="n">
        <f aca="false">IF(H1070=1,"",D1070/E1070)</f>
        <v>0.130565107116721</v>
      </c>
      <c r="G1070" s="17" t="n">
        <f aca="false">IF(H1070=1,"",D1070/E1070*Notas!$B$3)</f>
        <v>12.4036851760885</v>
      </c>
      <c r="H1070" s="13" t="n">
        <v>0</v>
      </c>
      <c r="I1070" s="17" t="n">
        <f aca="false">IF(H1070=1,D1070,G1070)</f>
        <v>12.4036851760885</v>
      </c>
    </row>
    <row r="1071" customFormat="false" ht="15" hidden="false" customHeight="false" outlineLevel="0" collapsed="false">
      <c r="A1071" s="13" t="s">
        <v>244</v>
      </c>
      <c r="B1071" s="13" t="s">
        <v>102</v>
      </c>
      <c r="C1071" s="13" t="s">
        <v>111</v>
      </c>
      <c r="D1071" s="15" t="n">
        <v>0.45201</v>
      </c>
      <c r="E1071" s="13" t="n">
        <v>0.99751</v>
      </c>
      <c r="F1071" s="16" t="n">
        <f aca="false">IF(H1071=1,"",D1071/E1071)</f>
        <v>0.453138314402863</v>
      </c>
      <c r="G1071" s="17" t="n">
        <f aca="false">IF(H1071=1,"",D1071/E1071*Notas!$B$3)</f>
        <v>43.048139868272</v>
      </c>
      <c r="H1071" s="13" t="n">
        <v>0</v>
      </c>
      <c r="I1071" s="17" t="n">
        <f aca="false">IF(H1071=1,D1071,G1071)</f>
        <v>43.048139868272</v>
      </c>
    </row>
    <row r="1072" customFormat="false" ht="15" hidden="false" customHeight="false" outlineLevel="0" collapsed="false">
      <c r="A1072" s="13" t="s">
        <v>244</v>
      </c>
      <c r="B1072" s="13" t="s">
        <v>102</v>
      </c>
      <c r="C1072" s="13" t="s">
        <v>112</v>
      </c>
      <c r="D1072" s="15" t="n">
        <v>0.12004</v>
      </c>
      <c r="E1072" s="13" t="n">
        <v>0.99751</v>
      </c>
      <c r="F1072" s="16" t="n">
        <f aca="false">IF(H1072=1,"",D1072/E1072)</f>
        <v>0.120339645717837</v>
      </c>
      <c r="G1072" s="17" t="n">
        <f aca="false">IF(H1072=1,"",D1072/E1072*Notas!$B$3)</f>
        <v>11.4322663431946</v>
      </c>
      <c r="H1072" s="13" t="n">
        <v>0</v>
      </c>
      <c r="I1072" s="17" t="n">
        <f aca="false">IF(H1072=1,D1072,G1072)</f>
        <v>11.4322663431946</v>
      </c>
    </row>
    <row r="1073" customFormat="false" ht="15" hidden="false" customHeight="false" outlineLevel="0" collapsed="false">
      <c r="A1073" s="13" t="s">
        <v>244</v>
      </c>
      <c r="B1073" s="13" t="s">
        <v>17</v>
      </c>
      <c r="C1073" s="13" t="s">
        <v>113</v>
      </c>
      <c r="D1073" s="15" t="n">
        <v>0</v>
      </c>
      <c r="E1073" s="13" t="n">
        <v>0.99751</v>
      </c>
      <c r="F1073" s="16" t="str">
        <f aca="false">IF(H1073=1,"",D1073/E1073)</f>
        <v/>
      </c>
      <c r="G1073" s="17" t="str">
        <f aca="false">IF(H1073=1,"",D1073/E1073*Notas!$B$3)</f>
        <v/>
      </c>
      <c r="H1073" s="13" t="n">
        <v>1</v>
      </c>
      <c r="I1073" s="17" t="n">
        <f aca="false">IF(H1073=1,D1073,G1073)</f>
        <v>0</v>
      </c>
    </row>
    <row r="1074" customFormat="false" ht="15" hidden="false" customHeight="false" outlineLevel="0" collapsed="false">
      <c r="A1074" s="13" t="s">
        <v>244</v>
      </c>
      <c r="B1074" s="13" t="s">
        <v>114</v>
      </c>
      <c r="C1074" s="13" t="s">
        <v>115</v>
      </c>
      <c r="D1074" s="15" t="n">
        <v>0.48592</v>
      </c>
      <c r="E1074" s="13" t="n">
        <v>0.99751</v>
      </c>
      <c r="F1074" s="16" t="n">
        <f aca="false">IF(H1074=1,"",D1074/E1074)</f>
        <v>0.487132961073072</v>
      </c>
      <c r="G1074" s="17" t="n">
        <f aca="false">IF(H1074=1,"",D1074/E1074*Notas!$B$3)</f>
        <v>46.2776313019418</v>
      </c>
      <c r="H1074" s="13" t="n">
        <v>0</v>
      </c>
      <c r="I1074" s="17" t="n">
        <f aca="false">IF(H1074=1,D1074,G1074)</f>
        <v>46.2776313019418</v>
      </c>
    </row>
    <row r="1075" customFormat="false" ht="15" hidden="false" customHeight="false" outlineLevel="0" collapsed="false">
      <c r="A1075" s="13" t="s">
        <v>244</v>
      </c>
      <c r="B1075" s="13" t="s">
        <v>114</v>
      </c>
      <c r="C1075" s="13" t="s">
        <v>116</v>
      </c>
      <c r="D1075" s="15" t="n">
        <v>0.32899</v>
      </c>
      <c r="E1075" s="13" t="n">
        <v>0.99751</v>
      </c>
      <c r="F1075" s="16" t="n">
        <f aca="false">IF(H1075=1,"",D1075/E1075)</f>
        <v>0.329811229962607</v>
      </c>
      <c r="G1075" s="17" t="n">
        <f aca="false">IF(H1075=1,"",D1075/E1075*Notas!$B$3)</f>
        <v>31.3320668464477</v>
      </c>
      <c r="H1075" s="13" t="n">
        <v>0</v>
      </c>
      <c r="I1075" s="17" t="n">
        <f aca="false">IF(H1075=1,D1075,G1075)</f>
        <v>31.3320668464477</v>
      </c>
    </row>
    <row r="1076" customFormat="false" ht="15" hidden="false" customHeight="false" outlineLevel="0" collapsed="false">
      <c r="A1076" s="13" t="s">
        <v>244</v>
      </c>
      <c r="B1076" s="13" t="s">
        <v>114</v>
      </c>
      <c r="C1076" s="13" t="s">
        <v>117</v>
      </c>
      <c r="D1076" s="15" t="n">
        <v>0.19696</v>
      </c>
      <c r="E1076" s="13" t="n">
        <v>0.99751</v>
      </c>
      <c r="F1076" s="16" t="n">
        <f aca="false">IF(H1076=1,"",D1076/E1076)</f>
        <v>0.197451654620004</v>
      </c>
      <c r="G1076" s="17" t="n">
        <f aca="false">IF(H1076=1,"",D1076/E1076*Notas!$B$3)</f>
        <v>18.7579071889004</v>
      </c>
      <c r="H1076" s="13" t="n">
        <v>0</v>
      </c>
      <c r="I1076" s="17" t="n">
        <f aca="false">IF(H1076=1,D1076,G1076)</f>
        <v>18.7579071889004</v>
      </c>
    </row>
    <row r="1077" customFormat="false" ht="15" hidden="false" customHeight="false" outlineLevel="0" collapsed="false">
      <c r="A1077" s="13" t="s">
        <v>244</v>
      </c>
      <c r="B1077" s="13" t="s">
        <v>114</v>
      </c>
      <c r="C1077" s="13" t="s">
        <v>118</v>
      </c>
      <c r="D1077" s="15" t="n">
        <v>0.9517</v>
      </c>
      <c r="E1077" s="13" t="n">
        <v>0.99751</v>
      </c>
      <c r="F1077" s="16" t="n">
        <f aca="false">IF(H1077=1,"",D1077/E1077)</f>
        <v>0.954075648364427</v>
      </c>
      <c r="G1077" s="17" t="n">
        <f aca="false">IF(H1077=1,"",D1077/E1077*Notas!$B$3)</f>
        <v>90.6371865946206</v>
      </c>
      <c r="H1077" s="13" t="n">
        <v>0</v>
      </c>
      <c r="I1077" s="17" t="n">
        <f aca="false">IF(H1077=1,D1077,G1077)</f>
        <v>90.6371865946206</v>
      </c>
    </row>
    <row r="1078" customFormat="false" ht="15" hidden="false" customHeight="false" outlineLevel="0" collapsed="false">
      <c r="A1078" s="13" t="s">
        <v>244</v>
      </c>
      <c r="B1078" s="13" t="s">
        <v>114</v>
      </c>
      <c r="C1078" s="13" t="s">
        <v>119</v>
      </c>
      <c r="D1078" s="15" t="n">
        <v>0.32899</v>
      </c>
      <c r="E1078" s="13" t="n">
        <v>0.99751</v>
      </c>
      <c r="F1078" s="16" t="n">
        <f aca="false">IF(H1078=1,"",D1078/E1078)</f>
        <v>0.329811229962607</v>
      </c>
      <c r="G1078" s="17" t="n">
        <f aca="false">IF(H1078=1,"",D1078/E1078*Notas!$B$3)</f>
        <v>31.3320668464477</v>
      </c>
      <c r="H1078" s="13" t="n">
        <v>0</v>
      </c>
      <c r="I1078" s="17" t="n">
        <f aca="false">IF(H1078=1,D1078,G1078)</f>
        <v>31.3320668464477</v>
      </c>
    </row>
    <row r="1079" customFormat="false" ht="15" hidden="false" customHeight="false" outlineLevel="0" collapsed="false">
      <c r="A1079" s="13" t="s">
        <v>244</v>
      </c>
      <c r="B1079" s="13" t="s">
        <v>114</v>
      </c>
      <c r="C1079" s="13" t="s">
        <v>120</v>
      </c>
      <c r="D1079" s="15" t="n">
        <v>1</v>
      </c>
      <c r="E1079" s="13" t="n">
        <v>0.99751</v>
      </c>
      <c r="F1079" s="16" t="str">
        <f aca="false">IF(H1079=1,"",D1079/E1079)</f>
        <v/>
      </c>
      <c r="G1079" s="17" t="str">
        <f aca="false">IF(H1079=1,"",D1079/E1079*Notas!$B$3)</f>
        <v/>
      </c>
      <c r="H1079" s="13" t="n">
        <v>1</v>
      </c>
      <c r="I1079" s="17" t="n">
        <f aca="false">IF(H1079=1,D1079,G1079)</f>
        <v>1</v>
      </c>
    </row>
    <row r="1080" customFormat="false" ht="15" hidden="false" customHeight="false" outlineLevel="0" collapsed="false">
      <c r="A1080" s="13" t="s">
        <v>244</v>
      </c>
      <c r="B1080" s="13" t="s">
        <v>114</v>
      </c>
      <c r="C1080" s="13" t="s">
        <v>121</v>
      </c>
      <c r="D1080" s="15" t="n">
        <v>0.3192</v>
      </c>
      <c r="E1080" s="13" t="n">
        <v>0.99751</v>
      </c>
      <c r="F1080" s="16" t="n">
        <f aca="false">IF(H1080=1,"",D1080/E1080)</f>
        <v>0.31999679201211</v>
      </c>
      <c r="G1080" s="17" t="n">
        <f aca="false">IF(H1080=1,"",D1080/E1080*Notas!$B$3)</f>
        <v>30.3996952411505</v>
      </c>
      <c r="H1080" s="13" t="n">
        <v>0</v>
      </c>
      <c r="I1080" s="17" t="n">
        <f aca="false">IF(H1080=1,D1080,G1080)</f>
        <v>30.3996952411505</v>
      </c>
    </row>
    <row r="1081" customFormat="false" ht="15" hidden="false" customHeight="false" outlineLevel="0" collapsed="false">
      <c r="A1081" s="13" t="s">
        <v>244</v>
      </c>
      <c r="B1081" s="13" t="s">
        <v>114</v>
      </c>
      <c r="C1081" s="13" t="s">
        <v>122</v>
      </c>
      <c r="D1081" s="15" t="n">
        <v>0.2218</v>
      </c>
      <c r="E1081" s="13" t="n">
        <v>0.99751</v>
      </c>
      <c r="F1081" s="16" t="n">
        <f aca="false">IF(H1081=1,"",D1081/E1081)</f>
        <v>0.222353660614931</v>
      </c>
      <c r="G1081" s="17" t="n">
        <f aca="false">IF(H1081=1,"",D1081/E1081*Notas!$B$3)</f>
        <v>21.1235977584185</v>
      </c>
      <c r="H1081" s="13" t="n">
        <v>0</v>
      </c>
      <c r="I1081" s="17" t="n">
        <f aca="false">IF(H1081=1,D1081,G1081)</f>
        <v>21.1235977584185</v>
      </c>
    </row>
    <row r="1082" customFormat="false" ht="15" hidden="false" customHeight="false" outlineLevel="0" collapsed="false">
      <c r="A1082" s="13" t="s">
        <v>244</v>
      </c>
      <c r="B1082" s="13" t="s">
        <v>114</v>
      </c>
      <c r="C1082" s="13" t="s">
        <v>123</v>
      </c>
      <c r="D1082" s="15" t="n">
        <v>0.19816</v>
      </c>
      <c r="E1082" s="13" t="n">
        <v>0.99751</v>
      </c>
      <c r="F1082" s="16" t="n">
        <f aca="false">IF(H1082=1,"",D1082/E1082)</f>
        <v>0.198654650078696</v>
      </c>
      <c r="G1082" s="17" t="n">
        <f aca="false">IF(H1082=1,"",D1082/E1082*Notas!$B$3)</f>
        <v>18.8721917574761</v>
      </c>
      <c r="H1082" s="13" t="n">
        <v>0</v>
      </c>
      <c r="I1082" s="17" t="n">
        <f aca="false">IF(H1082=1,D1082,G1082)</f>
        <v>18.8721917574761</v>
      </c>
    </row>
    <row r="1083" customFormat="false" ht="15" hidden="false" customHeight="false" outlineLevel="0" collapsed="false">
      <c r="A1083" s="13" t="s">
        <v>244</v>
      </c>
      <c r="B1083" s="13" t="s">
        <v>114</v>
      </c>
      <c r="C1083" s="13" t="s">
        <v>124</v>
      </c>
      <c r="D1083" s="15" t="n">
        <v>0.81265</v>
      </c>
      <c r="E1083" s="13" t="n">
        <v>0.99751</v>
      </c>
      <c r="F1083" s="16" t="n">
        <f aca="false">IF(H1083=1,"",D1083/E1083)</f>
        <v>0.814678549588475</v>
      </c>
      <c r="G1083" s="17" t="n">
        <f aca="false">IF(H1083=1,"",D1083/E1083*Notas!$B$3)</f>
        <v>77.3944622109052</v>
      </c>
      <c r="H1083" s="13" t="n">
        <v>0</v>
      </c>
      <c r="I1083" s="17" t="n">
        <f aca="false">IF(H1083=1,D1083,G1083)</f>
        <v>77.3944622109052</v>
      </c>
    </row>
    <row r="1084" customFormat="false" ht="15" hidden="false" customHeight="false" outlineLevel="0" collapsed="false">
      <c r="A1084" s="13" t="s">
        <v>244</v>
      </c>
      <c r="B1084" s="13" t="s">
        <v>114</v>
      </c>
      <c r="C1084" s="13" t="s">
        <v>125</v>
      </c>
      <c r="D1084" s="15" t="n">
        <v>0.41826</v>
      </c>
      <c r="E1084" s="13" t="n">
        <v>0.99751</v>
      </c>
      <c r="F1084" s="16" t="n">
        <f aca="false">IF(H1084=1,"",D1084/E1084)</f>
        <v>0.419304067127147</v>
      </c>
      <c r="G1084" s="17" t="n">
        <f aca="false">IF(H1084=1,"",D1084/E1084*Notas!$B$3)</f>
        <v>39.8338863770789</v>
      </c>
      <c r="H1084" s="13" t="n">
        <v>0</v>
      </c>
      <c r="I1084" s="17" t="n">
        <f aca="false">IF(H1084=1,D1084,G1084)</f>
        <v>39.8338863770789</v>
      </c>
    </row>
    <row r="1085" customFormat="false" ht="15" hidden="false" customHeight="false" outlineLevel="0" collapsed="false">
      <c r="A1085" s="13" t="s">
        <v>244</v>
      </c>
      <c r="B1085" s="13" t="s">
        <v>114</v>
      </c>
      <c r="C1085" s="13" t="s">
        <v>126</v>
      </c>
      <c r="D1085" s="15" t="n">
        <v>3</v>
      </c>
      <c r="E1085" s="13" t="n">
        <v>0.99751</v>
      </c>
      <c r="F1085" s="16" t="str">
        <f aca="false">IF(H1085=1,"",D1085/E1085)</f>
        <v/>
      </c>
      <c r="G1085" s="17" t="str">
        <f aca="false">IF(H1085=1,"",D1085/E1085*Notas!$B$3)</f>
        <v/>
      </c>
      <c r="H1085" s="13" t="n">
        <v>1</v>
      </c>
      <c r="I1085" s="17" t="n">
        <f aca="false">IF(H1085=1,D1085,G1085)</f>
        <v>3</v>
      </c>
    </row>
    <row r="1086" customFormat="false" ht="15" hidden="false" customHeight="false" outlineLevel="0" collapsed="false">
      <c r="A1086" s="13" t="s">
        <v>244</v>
      </c>
      <c r="B1086" s="13" t="s">
        <v>114</v>
      </c>
      <c r="C1086" s="13" t="s">
        <v>127</v>
      </c>
      <c r="D1086" s="15" t="n">
        <v>0.2572</v>
      </c>
      <c r="E1086" s="13" t="n">
        <v>0.99751</v>
      </c>
      <c r="F1086" s="16" t="n">
        <f aca="false">IF(H1086=1,"",D1086/E1086)</f>
        <v>0.257842026646349</v>
      </c>
      <c r="G1086" s="17" t="n">
        <f aca="false">IF(H1086=1,"",D1086/E1086*Notas!$B$3)</f>
        <v>24.4949925314032</v>
      </c>
      <c r="H1086" s="13" t="n">
        <v>0</v>
      </c>
      <c r="I1086" s="17" t="n">
        <f aca="false">IF(H1086=1,D1086,G1086)</f>
        <v>24.4949925314032</v>
      </c>
    </row>
    <row r="1087" customFormat="false" ht="15" hidden="false" customHeight="false" outlineLevel="0" collapsed="false">
      <c r="A1087" s="13" t="s">
        <v>244</v>
      </c>
      <c r="B1087" s="13" t="s">
        <v>114</v>
      </c>
      <c r="C1087" s="13" t="s">
        <v>128</v>
      </c>
      <c r="D1087" s="15" t="n">
        <v>0.28351</v>
      </c>
      <c r="E1087" s="13" t="n">
        <v>0.99751</v>
      </c>
      <c r="F1087" s="16" t="n">
        <f aca="false">IF(H1087=1,"",D1087/E1087)</f>
        <v>0.284217702078175</v>
      </c>
      <c r="G1087" s="17" t="n">
        <f aca="false">IF(H1087=1,"",D1087/E1087*Notas!$B$3)</f>
        <v>27.0006816974266</v>
      </c>
      <c r="H1087" s="13" t="n">
        <v>0</v>
      </c>
      <c r="I1087" s="17" t="n">
        <f aca="false">IF(H1087=1,D1087,G1087)</f>
        <v>27.0006816974266</v>
      </c>
    </row>
    <row r="1088" customFormat="false" ht="15" hidden="false" customHeight="false" outlineLevel="0" collapsed="false">
      <c r="A1088" s="13" t="s">
        <v>244</v>
      </c>
      <c r="B1088" s="13" t="s">
        <v>114</v>
      </c>
      <c r="C1088" s="13" t="s">
        <v>129</v>
      </c>
      <c r="D1088" s="15" t="n">
        <v>0.1474</v>
      </c>
      <c r="E1088" s="13" t="n">
        <v>0.99751</v>
      </c>
      <c r="F1088" s="16" t="n">
        <f aca="false">IF(H1088=1,"",D1088/E1088)</f>
        <v>0.147767942176018</v>
      </c>
      <c r="G1088" s="17" t="n">
        <f aca="false">IF(H1088=1,"",D1088/E1088*Notas!$B$3)</f>
        <v>14.0379545067217</v>
      </c>
      <c r="H1088" s="13" t="n">
        <v>0</v>
      </c>
      <c r="I1088" s="17" t="n">
        <f aca="false">IF(H1088=1,D1088,G1088)</f>
        <v>14.0379545067217</v>
      </c>
    </row>
    <row r="1089" customFormat="false" ht="15" hidden="false" customHeight="false" outlineLevel="0" collapsed="false">
      <c r="A1089" s="13" t="s">
        <v>244</v>
      </c>
      <c r="B1089" s="13" t="s">
        <v>114</v>
      </c>
      <c r="C1089" s="13" t="s">
        <v>130</v>
      </c>
      <c r="D1089" s="15" t="n">
        <v>0.77444</v>
      </c>
      <c r="E1089" s="13" t="n">
        <v>0.99751</v>
      </c>
      <c r="F1089" s="16" t="n">
        <f aca="false">IF(H1089=1,"",D1089/E1089)</f>
        <v>0.776373169191286</v>
      </c>
      <c r="G1089" s="17" t="n">
        <f aca="false">IF(H1089=1,"",D1089/E1089*Notas!$B$3)</f>
        <v>73.7554510731722</v>
      </c>
      <c r="H1089" s="13" t="n">
        <v>0</v>
      </c>
      <c r="I1089" s="17" t="n">
        <f aca="false">IF(H1089=1,D1089,G1089)</f>
        <v>73.7554510731722</v>
      </c>
    </row>
    <row r="1090" customFormat="false" ht="15" hidden="false" customHeight="false" outlineLevel="0" collapsed="false">
      <c r="A1090" s="13" t="s">
        <v>244</v>
      </c>
      <c r="B1090" s="13" t="s">
        <v>114</v>
      </c>
      <c r="C1090" s="13" t="s">
        <v>131</v>
      </c>
      <c r="D1090" s="15" t="n">
        <v>0.44946</v>
      </c>
      <c r="E1090" s="13" t="n">
        <v>0.99751</v>
      </c>
      <c r="F1090" s="16" t="n">
        <f aca="false">IF(H1090=1,"",D1090/E1090)</f>
        <v>0.450581949053142</v>
      </c>
      <c r="G1090" s="17" t="n">
        <f aca="false">IF(H1090=1,"",D1090/E1090*Notas!$B$3)</f>
        <v>42.8052851600485</v>
      </c>
      <c r="H1090" s="13" t="n">
        <v>0</v>
      </c>
      <c r="I1090" s="17" t="n">
        <f aca="false">IF(H1090=1,D1090,G1090)</f>
        <v>42.8052851600485</v>
      </c>
    </row>
    <row r="1091" customFormat="false" ht="15" hidden="false" customHeight="false" outlineLevel="0" collapsed="false">
      <c r="A1091" s="13" t="s">
        <v>244</v>
      </c>
      <c r="B1091" s="13" t="s">
        <v>114</v>
      </c>
      <c r="C1091" s="13" t="s">
        <v>132</v>
      </c>
      <c r="D1091" s="15" t="n">
        <v>4</v>
      </c>
      <c r="E1091" s="13" t="n">
        <v>0.99751</v>
      </c>
      <c r="F1091" s="16" t="str">
        <f aca="false">IF(H1091=1,"",D1091/E1091)</f>
        <v/>
      </c>
      <c r="G1091" s="17" t="str">
        <f aca="false">IF(H1091=1,"",D1091/E1091*Notas!$B$3)</f>
        <v/>
      </c>
      <c r="H1091" s="13" t="n">
        <v>1</v>
      </c>
      <c r="I1091" s="17" t="n">
        <f aca="false">IF(H1091=1,D1091,G1091)</f>
        <v>4</v>
      </c>
    </row>
    <row r="1092" customFormat="false" ht="15" hidden="false" customHeight="false" outlineLevel="0" collapsed="false">
      <c r="A1092" s="13" t="s">
        <v>244</v>
      </c>
      <c r="B1092" s="13" t="s">
        <v>114</v>
      </c>
      <c r="C1092" s="13" t="s">
        <v>133</v>
      </c>
      <c r="D1092" s="15" t="n">
        <v>0.54863</v>
      </c>
      <c r="E1092" s="13" t="n">
        <v>0.99751</v>
      </c>
      <c r="F1092" s="16" t="n">
        <f aca="false">IF(H1092=1,"",D1092/E1092)</f>
        <v>0.549999498751892</v>
      </c>
      <c r="G1092" s="17" t="n">
        <f aca="false">IF(H1092=1,"",D1092/E1092*Notas!$B$3)</f>
        <v>52.2499523814298</v>
      </c>
      <c r="H1092" s="13" t="n">
        <v>0</v>
      </c>
      <c r="I1092" s="17" t="n">
        <f aca="false">IF(H1092=1,D1092,G1092)</f>
        <v>52.2499523814298</v>
      </c>
    </row>
    <row r="1093" customFormat="false" ht="15" hidden="false" customHeight="false" outlineLevel="0" collapsed="false">
      <c r="A1093" s="13" t="s">
        <v>244</v>
      </c>
      <c r="B1093" s="13" t="s">
        <v>114</v>
      </c>
      <c r="C1093" s="13" t="s">
        <v>134</v>
      </c>
      <c r="D1093" s="15" t="n">
        <v>0.17233</v>
      </c>
      <c r="E1093" s="13" t="n">
        <v>0.99751</v>
      </c>
      <c r="F1093" s="16" t="n">
        <f aca="false">IF(H1093=1,"",D1093/E1093)</f>
        <v>0.172760172830348</v>
      </c>
      <c r="G1093" s="17" t="n">
        <f aca="false">IF(H1093=1,"",D1093/E1093*Notas!$B$3)</f>
        <v>16.412216418883</v>
      </c>
      <c r="H1093" s="13" t="n">
        <v>0</v>
      </c>
      <c r="I1093" s="17" t="n">
        <f aca="false">IF(H1093=1,D1093,G1093)</f>
        <v>16.412216418883</v>
      </c>
    </row>
    <row r="1094" customFormat="false" ht="15" hidden="false" customHeight="false" outlineLevel="0" collapsed="false">
      <c r="A1094" s="13" t="s">
        <v>244</v>
      </c>
      <c r="B1094" s="13" t="s">
        <v>114</v>
      </c>
      <c r="C1094" s="13" t="s">
        <v>135</v>
      </c>
      <c r="D1094" s="15" t="n">
        <v>0.12004</v>
      </c>
      <c r="E1094" s="13" t="n">
        <v>0.99751</v>
      </c>
      <c r="F1094" s="16" t="n">
        <f aca="false">IF(H1094=1,"",D1094/E1094)</f>
        <v>0.120339645717837</v>
      </c>
      <c r="G1094" s="17" t="n">
        <f aca="false">IF(H1094=1,"",D1094/E1094*Notas!$B$3)</f>
        <v>11.4322663431946</v>
      </c>
      <c r="H1094" s="13" t="n">
        <v>0</v>
      </c>
      <c r="I1094" s="17" t="n">
        <f aca="false">IF(H1094=1,D1094,G1094)</f>
        <v>11.4322663431946</v>
      </c>
    </row>
    <row r="1095" customFormat="false" ht="15" hidden="false" customHeight="false" outlineLevel="0" collapsed="false">
      <c r="A1095" s="13" t="s">
        <v>244</v>
      </c>
      <c r="B1095" s="13" t="s">
        <v>114</v>
      </c>
      <c r="C1095" s="13" t="s">
        <v>136</v>
      </c>
      <c r="D1095" s="15" t="n">
        <v>0.52862</v>
      </c>
      <c r="E1095" s="13" t="n">
        <v>0.99751</v>
      </c>
      <c r="F1095" s="16" t="n">
        <f aca="false">IF(H1095=1,"",D1095/E1095)</f>
        <v>0.529939549478201</v>
      </c>
      <c r="G1095" s="17" t="n">
        <f aca="false">IF(H1095=1,"",D1095/E1095*Notas!$B$3)</f>
        <v>50.3442572004291</v>
      </c>
      <c r="H1095" s="13" t="n">
        <v>0</v>
      </c>
      <c r="I1095" s="17" t="n">
        <f aca="false">IF(H1095=1,D1095,G1095)</f>
        <v>50.3442572004291</v>
      </c>
    </row>
    <row r="1096" customFormat="false" ht="15" hidden="false" customHeight="false" outlineLevel="0" collapsed="false">
      <c r="A1096" s="13" t="s">
        <v>244</v>
      </c>
      <c r="B1096" s="13" t="s">
        <v>114</v>
      </c>
      <c r="C1096" s="13" t="s">
        <v>137</v>
      </c>
      <c r="D1096" s="15" t="n">
        <v>0.17233</v>
      </c>
      <c r="E1096" s="13" t="n">
        <v>0.99751</v>
      </c>
      <c r="F1096" s="16" t="n">
        <f aca="false">IF(H1096=1,"",D1096/E1096)</f>
        <v>0.172760172830348</v>
      </c>
      <c r="G1096" s="17" t="n">
        <f aca="false">IF(H1096=1,"",D1096/E1096*Notas!$B$3)</f>
        <v>16.412216418883</v>
      </c>
      <c r="H1096" s="13" t="n">
        <v>0</v>
      </c>
      <c r="I1096" s="17" t="n">
        <f aca="false">IF(H1096=1,D1096,G1096)</f>
        <v>16.412216418883</v>
      </c>
    </row>
    <row r="1097" customFormat="false" ht="15" hidden="false" customHeight="false" outlineLevel="0" collapsed="false">
      <c r="A1097" s="13" t="s">
        <v>244</v>
      </c>
      <c r="B1097" s="13" t="s">
        <v>114</v>
      </c>
      <c r="C1097" s="13" t="s">
        <v>138</v>
      </c>
      <c r="D1097" s="15" t="n">
        <v>3</v>
      </c>
      <c r="E1097" s="13" t="n">
        <v>0.99751</v>
      </c>
      <c r="F1097" s="16" t="str">
        <f aca="false">IF(H1097=1,"",D1097/E1097)</f>
        <v/>
      </c>
      <c r="G1097" s="17" t="str">
        <f aca="false">IF(H1097=1,"",D1097/E1097*Notas!$B$3)</f>
        <v/>
      </c>
      <c r="H1097" s="13" t="n">
        <v>1</v>
      </c>
      <c r="I1097" s="17" t="n">
        <f aca="false">IF(H1097=1,D1097,G1097)</f>
        <v>3</v>
      </c>
    </row>
    <row r="1098" customFormat="false" ht="15" hidden="false" customHeight="false" outlineLevel="0" collapsed="false">
      <c r="A1098" s="13" t="s">
        <v>244</v>
      </c>
      <c r="B1098" s="13" t="s">
        <v>139</v>
      </c>
      <c r="C1098" s="13" t="s">
        <v>182</v>
      </c>
      <c r="D1098" s="15" t="n">
        <v>0.2003</v>
      </c>
      <c r="E1098" s="13" t="n">
        <v>0.99751</v>
      </c>
      <c r="F1098" s="16" t="n">
        <f aca="false">IF(H1098=1,"",D1098/E1098)</f>
        <v>0.20079999198003</v>
      </c>
      <c r="G1098" s="17" t="n">
        <f aca="false">IF(H1098=1,"",D1098/E1098*Notas!$B$3)</f>
        <v>19.0759992381029</v>
      </c>
      <c r="H1098" s="13" t="n">
        <v>0</v>
      </c>
      <c r="I1098" s="17" t="n">
        <f aca="false">IF(H1098=1,D1098,G1098)</f>
        <v>19.0759992381029</v>
      </c>
    </row>
    <row r="1099" customFormat="false" ht="15" hidden="false" customHeight="false" outlineLevel="0" collapsed="false">
      <c r="A1099" s="13" t="s">
        <v>244</v>
      </c>
      <c r="B1099" s="13" t="s">
        <v>139</v>
      </c>
      <c r="C1099" s="13" t="s">
        <v>183</v>
      </c>
      <c r="D1099" s="15" t="n">
        <v>0.45416</v>
      </c>
      <c r="E1099" s="13" t="n">
        <v>0.99751</v>
      </c>
      <c r="F1099" s="16" t="n">
        <f aca="false">IF(H1099=1,"",D1099/E1099)</f>
        <v>0.455293681266353</v>
      </c>
      <c r="G1099" s="17" t="n">
        <f aca="false">IF(H1099=1,"",D1099/E1099*Notas!$B$3)</f>
        <v>43.2528997203036</v>
      </c>
      <c r="H1099" s="13" t="n">
        <v>0</v>
      </c>
      <c r="I1099" s="17" t="n">
        <f aca="false">IF(H1099=1,D1099,G1099)</f>
        <v>43.2528997203036</v>
      </c>
    </row>
    <row r="1100" customFormat="false" ht="15" hidden="false" customHeight="false" outlineLevel="0" collapsed="false">
      <c r="A1100" s="13" t="s">
        <v>244</v>
      </c>
      <c r="B1100" s="13" t="s">
        <v>139</v>
      </c>
      <c r="C1100" s="13" t="s">
        <v>184</v>
      </c>
      <c r="D1100" s="15" t="n">
        <v>0.25386</v>
      </c>
      <c r="E1100" s="13" t="n">
        <v>0.99751</v>
      </c>
      <c r="F1100" s="16" t="n">
        <f aca="false">IF(H1100=1,"",D1100/E1100)</f>
        <v>0.254493689286323</v>
      </c>
      <c r="G1100" s="17" t="n">
        <f aca="false">IF(H1100=1,"",D1100/E1100*Notas!$B$3)</f>
        <v>24.1769004822007</v>
      </c>
      <c r="H1100" s="13" t="n">
        <v>0</v>
      </c>
      <c r="I1100" s="17" t="n">
        <f aca="false">IF(H1100=1,D1100,G1100)</f>
        <v>24.1769004822007</v>
      </c>
    </row>
    <row r="1101" customFormat="false" ht="15" hidden="false" customHeight="false" outlineLevel="0" collapsed="false">
      <c r="A1101" s="13" t="s">
        <v>244</v>
      </c>
      <c r="B1101" s="13" t="s">
        <v>139</v>
      </c>
      <c r="C1101" s="13" t="s">
        <v>185</v>
      </c>
      <c r="D1101" s="15" t="n">
        <v>0.13979</v>
      </c>
      <c r="E1101" s="13" t="n">
        <v>0.99751</v>
      </c>
      <c r="F1101" s="16" t="n">
        <f aca="false">IF(H1101=1,"",D1101/E1101)</f>
        <v>0.140138945975479</v>
      </c>
      <c r="G1101" s="17" t="n">
        <f aca="false">IF(H1101=1,"",D1101/E1101*Notas!$B$3)</f>
        <v>13.3131998676705</v>
      </c>
      <c r="H1101" s="13" t="n">
        <v>0</v>
      </c>
      <c r="I1101" s="17" t="n">
        <f aca="false">IF(H1101=1,D1101,G1101)</f>
        <v>13.3131998676705</v>
      </c>
    </row>
    <row r="1102" customFormat="false" ht="15" hidden="false" customHeight="false" outlineLevel="0" collapsed="false">
      <c r="A1102" s="13" t="s">
        <v>244</v>
      </c>
      <c r="B1102" s="13" t="s">
        <v>139</v>
      </c>
      <c r="C1102" s="13" t="s">
        <v>186</v>
      </c>
      <c r="D1102" s="15" t="n">
        <v>0.11768</v>
      </c>
      <c r="E1102" s="13" t="n">
        <v>0.99751</v>
      </c>
      <c r="F1102" s="16" t="n">
        <f aca="false">IF(H1102=1,"",D1102/E1102)</f>
        <v>0.117973754649076</v>
      </c>
      <c r="G1102" s="17" t="n">
        <f aca="false">IF(H1102=1,"",D1102/E1102*Notas!$B$3)</f>
        <v>11.2075066916622</v>
      </c>
      <c r="H1102" s="13" t="n">
        <v>0</v>
      </c>
      <c r="I1102" s="17" t="n">
        <f aca="false">IF(H1102=1,D1102,G1102)</f>
        <v>11.2075066916622</v>
      </c>
    </row>
    <row r="1103" customFormat="false" ht="15" hidden="false" customHeight="false" outlineLevel="0" collapsed="false">
      <c r="A1103" s="13" t="s">
        <v>244</v>
      </c>
      <c r="B1103" s="13" t="s">
        <v>139</v>
      </c>
      <c r="C1103" s="13" t="s">
        <v>187</v>
      </c>
      <c r="D1103" s="15" t="n">
        <v>0.2248</v>
      </c>
      <c r="E1103" s="13" t="n">
        <v>0.99751</v>
      </c>
      <c r="F1103" s="16" t="n">
        <f aca="false">IF(H1103=1,"",D1103/E1103)</f>
        <v>0.225361149261662</v>
      </c>
      <c r="G1103" s="17" t="n">
        <f aca="false">IF(H1103=1,"",D1103/E1103*Notas!$B$3)</f>
        <v>21.4093091798578</v>
      </c>
      <c r="H1103" s="13" t="n">
        <v>0</v>
      </c>
      <c r="I1103" s="17" t="n">
        <f aca="false">IF(H1103=1,D1103,G1103)</f>
        <v>21.4093091798578</v>
      </c>
    </row>
    <row r="1104" customFormat="false" ht="15" hidden="false" customHeight="false" outlineLevel="0" collapsed="false">
      <c r="A1104" s="13" t="s">
        <v>244</v>
      </c>
      <c r="B1104" s="13" t="s">
        <v>143</v>
      </c>
      <c r="C1104" s="13" t="s">
        <v>188</v>
      </c>
      <c r="D1104" s="15" t="n">
        <v>0.53933</v>
      </c>
      <c r="E1104" s="13" t="n">
        <v>0.99751</v>
      </c>
      <c r="F1104" s="16" t="n">
        <f aca="false">IF(H1104=1,"",D1104/E1104)</f>
        <v>0.540676283947028</v>
      </c>
      <c r="G1104" s="17" t="n">
        <f aca="false">IF(H1104=1,"",D1104/E1104*Notas!$B$3)</f>
        <v>51.3642469749677</v>
      </c>
      <c r="H1104" s="13" t="n">
        <v>0</v>
      </c>
      <c r="I1104" s="17" t="n">
        <f aca="false">IF(H1104=1,D1104,G1104)</f>
        <v>51.3642469749677</v>
      </c>
    </row>
    <row r="1105" customFormat="false" ht="15" hidden="false" customHeight="false" outlineLevel="0" collapsed="false">
      <c r="A1105" s="13" t="s">
        <v>244</v>
      </c>
      <c r="B1105" s="13" t="s">
        <v>143</v>
      </c>
      <c r="C1105" s="13" t="s">
        <v>189</v>
      </c>
      <c r="D1105" s="15" t="n">
        <v>0.34013</v>
      </c>
      <c r="E1105" s="13" t="n">
        <v>0.99751</v>
      </c>
      <c r="F1105" s="16" t="n">
        <f aca="false">IF(H1105=1,"",D1105/E1105)</f>
        <v>0.340979037804132</v>
      </c>
      <c r="G1105" s="17" t="n">
        <f aca="false">IF(H1105=1,"",D1105/E1105*Notas!$B$3)</f>
        <v>32.3930085913926</v>
      </c>
      <c r="H1105" s="13" t="n">
        <v>0</v>
      </c>
      <c r="I1105" s="17" t="n">
        <f aca="false">IF(H1105=1,D1105,G1105)</f>
        <v>32.3930085913926</v>
      </c>
    </row>
    <row r="1106" customFormat="false" ht="15" hidden="false" customHeight="false" outlineLevel="0" collapsed="false">
      <c r="A1106" s="13" t="s">
        <v>244</v>
      </c>
      <c r="B1106" s="13" t="s">
        <v>143</v>
      </c>
      <c r="C1106" s="13" t="s">
        <v>190</v>
      </c>
      <c r="D1106" s="15" t="n">
        <v>0.1992</v>
      </c>
      <c r="E1106" s="13" t="n">
        <v>0.99751</v>
      </c>
      <c r="F1106" s="16" t="n">
        <f aca="false">IF(H1106=1,"",D1106/E1106)</f>
        <v>0.199697246142896</v>
      </c>
      <c r="G1106" s="17" t="n">
        <f aca="false">IF(H1106=1,"",D1106/E1106*Notas!$B$3)</f>
        <v>18.9712383835751</v>
      </c>
      <c r="H1106" s="13" t="n">
        <v>0</v>
      </c>
      <c r="I1106" s="17" t="n">
        <f aca="false">IF(H1106=1,D1106,G1106)</f>
        <v>18.9712383835751</v>
      </c>
    </row>
    <row r="1107" customFormat="false" ht="15" hidden="false" customHeight="false" outlineLevel="0" collapsed="false">
      <c r="A1107" s="13" t="s">
        <v>244</v>
      </c>
      <c r="B1107" s="13" t="s">
        <v>143</v>
      </c>
      <c r="C1107" s="13" t="s">
        <v>191</v>
      </c>
      <c r="D1107" s="15" t="n">
        <v>0.13649</v>
      </c>
      <c r="E1107" s="13" t="n">
        <v>0.99751</v>
      </c>
      <c r="F1107" s="16" t="n">
        <f aca="false">IF(H1107=1,"",D1107/E1107)</f>
        <v>0.136830708464076</v>
      </c>
      <c r="G1107" s="17" t="n">
        <f aca="false">IF(H1107=1,"",D1107/E1107*Notas!$B$3)</f>
        <v>12.9989173040872</v>
      </c>
      <c r="H1107" s="13" t="n">
        <v>0</v>
      </c>
      <c r="I1107" s="17" t="n">
        <f aca="false">IF(H1107=1,D1107,G1107)</f>
        <v>12.9989173040872</v>
      </c>
    </row>
    <row r="1108" customFormat="false" ht="15" hidden="false" customHeight="false" outlineLevel="0" collapsed="false">
      <c r="A1108" s="13" t="s">
        <v>244</v>
      </c>
      <c r="B1108" s="13" t="s">
        <v>143</v>
      </c>
      <c r="C1108" s="13" t="s">
        <v>192</v>
      </c>
      <c r="D1108" s="15" t="n">
        <v>0.11848</v>
      </c>
      <c r="E1108" s="13" t="n">
        <v>0.99751</v>
      </c>
      <c r="F1108" s="16" t="n">
        <f aca="false">IF(H1108=1,"",D1108/E1108)</f>
        <v>0.118775751621538</v>
      </c>
      <c r="G1108" s="17" t="n">
        <f aca="false">IF(H1108=1,"",D1108/E1108*Notas!$B$3)</f>
        <v>11.2836964040461</v>
      </c>
      <c r="H1108" s="13" t="n">
        <v>0</v>
      </c>
      <c r="I1108" s="17" t="n">
        <f aca="false">IF(H1108=1,D1108,G1108)</f>
        <v>11.2836964040461</v>
      </c>
    </row>
    <row r="1109" customFormat="false" ht="15" hidden="false" customHeight="false" outlineLevel="0" collapsed="false">
      <c r="A1109" s="13" t="s">
        <v>244</v>
      </c>
      <c r="B1109" s="13" t="s">
        <v>143</v>
      </c>
      <c r="C1109" s="13" t="s">
        <v>193</v>
      </c>
      <c r="D1109" s="15" t="n">
        <v>0.33902</v>
      </c>
      <c r="E1109" s="13" t="n">
        <v>0.99751</v>
      </c>
      <c r="F1109" s="16" t="n">
        <f aca="false">IF(H1109=1,"",D1109/E1109)</f>
        <v>0.339866267004842</v>
      </c>
      <c r="G1109" s="17" t="n">
        <f aca="false">IF(H1109=1,"",D1109/E1109*Notas!$B$3)</f>
        <v>32.28729536546</v>
      </c>
      <c r="H1109" s="13" t="n">
        <v>0</v>
      </c>
      <c r="I1109" s="17" t="n">
        <f aca="false">IF(H1109=1,D1109,G1109)</f>
        <v>32.28729536546</v>
      </c>
    </row>
    <row r="1110" customFormat="false" ht="15" hidden="false" customHeight="false" outlineLevel="0" collapsed="false">
      <c r="A1110" s="13" t="s">
        <v>244</v>
      </c>
      <c r="B1110" s="13" t="s">
        <v>139</v>
      </c>
      <c r="C1110" s="13" t="s">
        <v>194</v>
      </c>
      <c r="D1110" s="15" t="n">
        <v>0.19146</v>
      </c>
      <c r="E1110" s="13" t="n">
        <v>0.99751</v>
      </c>
      <c r="F1110" s="16" t="n">
        <f aca="false">IF(H1110=1,"",D1110/E1110)</f>
        <v>0.191937925434331</v>
      </c>
      <c r="G1110" s="17" t="n">
        <f aca="false">IF(H1110=1,"",D1110/E1110*Notas!$B$3)</f>
        <v>18.2341029162615</v>
      </c>
      <c r="H1110" s="13" t="n">
        <v>0</v>
      </c>
      <c r="I1110" s="17" t="n">
        <f aca="false">IF(H1110=1,D1110,G1110)</f>
        <v>18.2341029162615</v>
      </c>
    </row>
    <row r="1111" customFormat="false" ht="15" hidden="false" customHeight="false" outlineLevel="0" collapsed="false">
      <c r="A1111" s="13" t="s">
        <v>244</v>
      </c>
      <c r="B1111" s="13" t="s">
        <v>139</v>
      </c>
      <c r="C1111" s="13" t="s">
        <v>195</v>
      </c>
      <c r="D1111" s="15" t="n">
        <v>0.46319</v>
      </c>
      <c r="E1111" s="13" t="n">
        <v>0.99751</v>
      </c>
      <c r="F1111" s="16" t="n">
        <f aca="false">IF(H1111=1,"",D1111/E1111)</f>
        <v>0.464346222093012</v>
      </c>
      <c r="G1111" s="17" t="n">
        <f aca="false">IF(H1111=1,"",D1111/E1111*Notas!$B$3)</f>
        <v>44.1128910988361</v>
      </c>
      <c r="H1111" s="13" t="n">
        <v>0</v>
      </c>
      <c r="I1111" s="17" t="n">
        <f aca="false">IF(H1111=1,D1111,G1111)</f>
        <v>44.1128910988361</v>
      </c>
    </row>
    <row r="1112" customFormat="false" ht="15" hidden="false" customHeight="false" outlineLevel="0" collapsed="false">
      <c r="A1112" s="13" t="s">
        <v>244</v>
      </c>
      <c r="B1112" s="13" t="s">
        <v>139</v>
      </c>
      <c r="C1112" s="13" t="s">
        <v>196</v>
      </c>
      <c r="D1112" s="15" t="n">
        <v>0.27173</v>
      </c>
      <c r="E1112" s="13" t="n">
        <v>0.99751</v>
      </c>
      <c r="F1112" s="16" t="n">
        <f aca="false">IF(H1112=1,"",D1112/E1112)</f>
        <v>0.27240829665868</v>
      </c>
      <c r="G1112" s="17" t="n">
        <f aca="false">IF(H1112=1,"",D1112/E1112*Notas!$B$3)</f>
        <v>25.8787881825746</v>
      </c>
      <c r="H1112" s="13" t="n">
        <v>0</v>
      </c>
      <c r="I1112" s="17" t="n">
        <f aca="false">IF(H1112=1,D1112,G1112)</f>
        <v>25.8787881825746</v>
      </c>
    </row>
    <row r="1113" customFormat="false" ht="15" hidden="false" customHeight="false" outlineLevel="0" collapsed="false">
      <c r="A1113" s="13" t="s">
        <v>244</v>
      </c>
      <c r="B1113" s="13" t="s">
        <v>139</v>
      </c>
      <c r="C1113" s="13" t="s">
        <v>197</v>
      </c>
      <c r="D1113" s="15" t="n">
        <v>0.13406</v>
      </c>
      <c r="E1113" s="13" t="n">
        <v>0.99751</v>
      </c>
      <c r="F1113" s="16" t="n">
        <f aca="false">IF(H1113=1,"",D1113/E1113)</f>
        <v>0.134394642660224</v>
      </c>
      <c r="G1113" s="17" t="n">
        <f aca="false">IF(H1113=1,"",D1113/E1113*Notas!$B$3)</f>
        <v>12.7674910527213</v>
      </c>
      <c r="H1113" s="13" t="n">
        <v>0</v>
      </c>
      <c r="I1113" s="17" t="n">
        <f aca="false">IF(H1113=1,D1113,G1113)</f>
        <v>12.7674910527213</v>
      </c>
    </row>
    <row r="1114" customFormat="false" ht="15" hidden="false" customHeight="false" outlineLevel="0" collapsed="false">
      <c r="A1114" s="13" t="s">
        <v>244</v>
      </c>
      <c r="B1114" s="13" t="s">
        <v>139</v>
      </c>
      <c r="C1114" s="13" t="s">
        <v>198</v>
      </c>
      <c r="D1114" s="15" t="n">
        <v>0.12723</v>
      </c>
      <c r="E1114" s="13" t="n">
        <v>0.99751</v>
      </c>
      <c r="F1114" s="16" t="n">
        <f aca="false">IF(H1114=1,"",D1114/E1114)</f>
        <v>0.127547593507835</v>
      </c>
      <c r="G1114" s="17" t="n">
        <f aca="false">IF(H1114=1,"",D1114/E1114*Notas!$B$3)</f>
        <v>12.1170213832443</v>
      </c>
      <c r="H1114" s="13" t="n">
        <v>0</v>
      </c>
      <c r="I1114" s="17" t="n">
        <f aca="false">IF(H1114=1,D1114,G1114)</f>
        <v>12.1170213832443</v>
      </c>
    </row>
    <row r="1115" customFormat="false" ht="15" hidden="false" customHeight="false" outlineLevel="0" collapsed="false">
      <c r="A1115" s="13" t="s">
        <v>244</v>
      </c>
      <c r="B1115" s="13" t="s">
        <v>139</v>
      </c>
      <c r="C1115" s="13" t="s">
        <v>199</v>
      </c>
      <c r="D1115" s="15" t="n">
        <v>0.23051</v>
      </c>
      <c r="E1115" s="13" t="n">
        <v>0.99751</v>
      </c>
      <c r="F1115" s="16" t="n">
        <f aca="false">IF(H1115=1,"",D1115/E1115)</f>
        <v>0.231085402652605</v>
      </c>
      <c r="G1115" s="17" t="n">
        <f aca="false">IF(H1115=1,"",D1115/E1115*Notas!$B$3)</f>
        <v>21.9531132519975</v>
      </c>
      <c r="H1115" s="13" t="n">
        <v>0</v>
      </c>
      <c r="I1115" s="17" t="n">
        <f aca="false">IF(H1115=1,D1115,G1115)</f>
        <v>21.9531132519975</v>
      </c>
    </row>
    <row r="1116" customFormat="false" ht="15" hidden="false" customHeight="false" outlineLevel="0" collapsed="false">
      <c r="A1116" s="13" t="s">
        <v>244</v>
      </c>
      <c r="B1116" s="13" t="s">
        <v>143</v>
      </c>
      <c r="C1116" s="13" t="s">
        <v>200</v>
      </c>
      <c r="D1116" s="15" t="n">
        <v>0.54074</v>
      </c>
      <c r="E1116" s="13" t="n">
        <v>0.99751</v>
      </c>
      <c r="F1116" s="16" t="n">
        <f aca="false">IF(H1116=1,"",D1116/E1116)</f>
        <v>0.542089803610991</v>
      </c>
      <c r="G1116" s="17" t="n">
        <f aca="false">IF(H1116=1,"",D1116/E1116*Notas!$B$3)</f>
        <v>51.4985313430442</v>
      </c>
      <c r="H1116" s="13" t="n">
        <v>0</v>
      </c>
      <c r="I1116" s="17" t="n">
        <f aca="false">IF(H1116=1,D1116,G1116)</f>
        <v>51.4985313430442</v>
      </c>
    </row>
    <row r="1117" customFormat="false" ht="15" hidden="false" customHeight="false" outlineLevel="0" collapsed="false">
      <c r="A1117" s="13" t="s">
        <v>244</v>
      </c>
      <c r="B1117" s="13" t="s">
        <v>143</v>
      </c>
      <c r="C1117" s="13" t="s">
        <v>201</v>
      </c>
      <c r="D1117" s="15" t="n">
        <v>0.13455</v>
      </c>
      <c r="E1117" s="13" t="n">
        <v>0.99751</v>
      </c>
      <c r="F1117" s="16" t="n">
        <f aca="false">IF(H1117=1,"",D1117/E1117)</f>
        <v>0.134885865805857</v>
      </c>
      <c r="G1117" s="17" t="n">
        <f aca="false">IF(H1117=1,"",D1117/E1117*Notas!$B$3)</f>
        <v>12.8141572515564</v>
      </c>
      <c r="H1117" s="13" t="n">
        <v>0</v>
      </c>
      <c r="I1117" s="17" t="n">
        <f aca="false">IF(H1117=1,D1117,G1117)</f>
        <v>12.8141572515564</v>
      </c>
    </row>
    <row r="1118" customFormat="false" ht="15" hidden="false" customHeight="false" outlineLevel="0" collapsed="false">
      <c r="A1118" s="13" t="s">
        <v>244</v>
      </c>
      <c r="B1118" s="13" t="s">
        <v>143</v>
      </c>
      <c r="C1118" s="13" t="s">
        <v>202</v>
      </c>
      <c r="D1118" s="15" t="n">
        <v>0.4062</v>
      </c>
      <c r="E1118" s="13" t="n">
        <v>0.99751</v>
      </c>
      <c r="F1118" s="16" t="n">
        <f aca="false">IF(H1118=1,"",D1118/E1118)</f>
        <v>0.407213962767291</v>
      </c>
      <c r="G1118" s="17" t="n">
        <f aca="false">IF(H1118=1,"",D1118/E1118*Notas!$B$3)</f>
        <v>38.6853264628926</v>
      </c>
      <c r="H1118" s="13" t="n">
        <v>0</v>
      </c>
      <c r="I1118" s="17" t="n">
        <f aca="false">IF(H1118=1,D1118,G1118)</f>
        <v>38.6853264628926</v>
      </c>
    </row>
    <row r="1119" customFormat="false" ht="15" hidden="false" customHeight="false" outlineLevel="0" collapsed="false">
      <c r="A1119" s="13" t="s">
        <v>244</v>
      </c>
      <c r="B1119" s="13" t="s">
        <v>143</v>
      </c>
      <c r="C1119" s="13" t="s">
        <v>203</v>
      </c>
      <c r="D1119" s="15" t="n">
        <v>0.13423</v>
      </c>
      <c r="E1119" s="13" t="n">
        <v>0.99751</v>
      </c>
      <c r="F1119" s="16" t="n">
        <f aca="false">IF(H1119=1,"",D1119/E1119)</f>
        <v>0.134565067016872</v>
      </c>
      <c r="G1119" s="17" t="n">
        <f aca="false">IF(H1119=1,"",D1119/E1119*Notas!$B$3)</f>
        <v>12.7836813666028</v>
      </c>
      <c r="H1119" s="13" t="n">
        <v>0</v>
      </c>
      <c r="I1119" s="17" t="n">
        <f aca="false">IF(H1119=1,D1119,G1119)</f>
        <v>12.7836813666028</v>
      </c>
    </row>
    <row r="1120" customFormat="false" ht="15" hidden="false" customHeight="false" outlineLevel="0" collapsed="false">
      <c r="A1120" s="13" t="s">
        <v>244</v>
      </c>
      <c r="B1120" s="13" t="s">
        <v>143</v>
      </c>
      <c r="C1120" s="13" t="s">
        <v>204</v>
      </c>
      <c r="D1120" s="15" t="n">
        <v>0.1213</v>
      </c>
      <c r="E1120" s="13" t="n">
        <v>0.99751</v>
      </c>
      <c r="F1120" s="16" t="n">
        <f aca="false">IF(H1120=1,"",D1120/E1120)</f>
        <v>0.121602790949464</v>
      </c>
      <c r="G1120" s="17" t="n">
        <f aca="false">IF(H1120=1,"",D1120/E1120*Notas!$B$3)</f>
        <v>11.5522651401991</v>
      </c>
      <c r="H1120" s="13" t="n">
        <v>0</v>
      </c>
      <c r="I1120" s="17" t="n">
        <f aca="false">IF(H1120=1,D1120,G1120)</f>
        <v>11.5522651401991</v>
      </c>
    </row>
    <row r="1121" customFormat="false" ht="15" hidden="false" customHeight="false" outlineLevel="0" collapsed="false">
      <c r="A1121" s="13" t="s">
        <v>244</v>
      </c>
      <c r="B1121" s="13" t="s">
        <v>143</v>
      </c>
      <c r="C1121" s="13" t="s">
        <v>205</v>
      </c>
      <c r="D1121" s="15" t="n">
        <v>0.34928</v>
      </c>
      <c r="E1121" s="13" t="n">
        <v>0.99751</v>
      </c>
      <c r="F1121" s="16" t="n">
        <f aca="false">IF(H1121=1,"",D1121/E1121)</f>
        <v>0.35015187817666</v>
      </c>
      <c r="G1121" s="17" t="n">
        <f aca="false">IF(H1121=1,"",D1121/E1121*Notas!$B$3)</f>
        <v>33.2644284267827</v>
      </c>
      <c r="H1121" s="13" t="n">
        <v>0</v>
      </c>
      <c r="I1121" s="17" t="n">
        <f aca="false">IF(H1121=1,D1121,G1121)</f>
        <v>33.2644284267827</v>
      </c>
    </row>
    <row r="1122" customFormat="false" ht="15" hidden="false" customHeight="false" outlineLevel="0" collapsed="false">
      <c r="A1122" s="13" t="s">
        <v>244</v>
      </c>
      <c r="B1122" s="13" t="s">
        <v>114</v>
      </c>
      <c r="C1122" s="13" t="s">
        <v>206</v>
      </c>
      <c r="D1122" s="15" t="n">
        <v>0.30081</v>
      </c>
      <c r="E1122" s="13" t="n">
        <v>0.99751</v>
      </c>
      <c r="F1122" s="16" t="n">
        <f aca="false">IF(H1122=1,"",D1122/E1122)</f>
        <v>0.301560886607653</v>
      </c>
      <c r="G1122" s="17" t="n">
        <f aca="false">IF(H1122=1,"",D1122/E1122*Notas!$B$3)</f>
        <v>28.648284227727</v>
      </c>
      <c r="H1122" s="13" t="n">
        <v>0</v>
      </c>
      <c r="I1122" s="17" t="n">
        <f aca="false">IF(H1122=1,D1122,G1122)</f>
        <v>28.648284227727</v>
      </c>
    </row>
    <row r="1123" customFormat="false" ht="15" hidden="false" customHeight="false" outlineLevel="0" collapsed="false">
      <c r="A1123" s="13" t="s">
        <v>245</v>
      </c>
      <c r="B1123" s="13" t="s">
        <v>17</v>
      </c>
      <c r="C1123" s="13" t="s">
        <v>18</v>
      </c>
      <c r="D1123" s="15" t="n">
        <v>1.00001</v>
      </c>
      <c r="E1123" s="13" t="n">
        <v>1.00001</v>
      </c>
      <c r="F1123" s="16" t="n">
        <f aca="false">IF(H1123=1,"",D1123/E1123)</f>
        <v>1</v>
      </c>
      <c r="G1123" s="17" t="n">
        <f aca="false">IF(H1123=1,"",D1123/E1123*Notas!$B$3)</f>
        <v>95</v>
      </c>
      <c r="H1123" s="13" t="n">
        <v>0</v>
      </c>
      <c r="I1123" s="17" t="n">
        <f aca="false">IF(H1123=1,D1123,G1123)</f>
        <v>95</v>
      </c>
    </row>
    <row r="1124" customFormat="false" ht="15" hidden="false" customHeight="false" outlineLevel="0" collapsed="false">
      <c r="A1124" s="13" t="s">
        <v>245</v>
      </c>
      <c r="B1124" s="13" t="s">
        <v>17</v>
      </c>
      <c r="C1124" s="13" t="s">
        <v>19</v>
      </c>
      <c r="D1124" s="15" t="n">
        <v>0.66689</v>
      </c>
      <c r="E1124" s="13" t="n">
        <v>1.00001</v>
      </c>
      <c r="F1124" s="16" t="n">
        <f aca="false">IF(H1124=1,"",D1124/E1124)</f>
        <v>0.666883331166688</v>
      </c>
      <c r="G1124" s="17" t="n">
        <f aca="false">IF(H1124=1,"",D1124/E1124*Notas!$B$3)</f>
        <v>63.3539164608354</v>
      </c>
      <c r="H1124" s="13" t="n">
        <v>0</v>
      </c>
      <c r="I1124" s="17" t="n">
        <f aca="false">IF(H1124=1,D1124,G1124)</f>
        <v>63.3539164608354</v>
      </c>
    </row>
    <row r="1125" customFormat="false" ht="15" hidden="false" customHeight="false" outlineLevel="0" collapsed="false">
      <c r="A1125" s="13" t="s">
        <v>245</v>
      </c>
      <c r="B1125" s="13" t="s">
        <v>17</v>
      </c>
      <c r="C1125" s="13" t="s">
        <v>20</v>
      </c>
      <c r="D1125" s="15" t="n">
        <v>0.32759</v>
      </c>
      <c r="E1125" s="13" t="n">
        <v>1.00001</v>
      </c>
      <c r="F1125" s="16" t="n">
        <f aca="false">IF(H1125=1,"",D1125/E1125)</f>
        <v>0.327586724132759</v>
      </c>
      <c r="G1125" s="17" t="n">
        <f aca="false">IF(H1125=1,"",D1125/E1125*Notas!$B$3)</f>
        <v>31.1207387926121</v>
      </c>
      <c r="H1125" s="13" t="n">
        <v>0</v>
      </c>
      <c r="I1125" s="17" t="n">
        <f aca="false">IF(H1125=1,D1125,G1125)</f>
        <v>31.1207387926121</v>
      </c>
    </row>
    <row r="1126" customFormat="false" ht="15" hidden="false" customHeight="false" outlineLevel="0" collapsed="false">
      <c r="A1126" s="13" t="s">
        <v>245</v>
      </c>
      <c r="B1126" s="13" t="s">
        <v>17</v>
      </c>
      <c r="C1126" s="13" t="s">
        <v>21</v>
      </c>
      <c r="D1126" s="15" t="n">
        <v>5472</v>
      </c>
      <c r="E1126" s="13" t="n">
        <v>1.00001</v>
      </c>
      <c r="F1126" s="16" t="str">
        <f aca="false">IF(H1126=1,"",D1126/E1126)</f>
        <v/>
      </c>
      <c r="G1126" s="17" t="str">
        <f aca="false">IF(H1126=1,"",D1126/E1126*Notas!$B$3)</f>
        <v/>
      </c>
      <c r="H1126" s="13" t="n">
        <v>1</v>
      </c>
      <c r="I1126" s="17" t="n">
        <f aca="false">IF(H1126=1,D1126,G1126)</f>
        <v>5472</v>
      </c>
    </row>
    <row r="1127" customFormat="false" ht="15" hidden="false" customHeight="false" outlineLevel="0" collapsed="false">
      <c r="A1127" s="13" t="s">
        <v>245</v>
      </c>
      <c r="B1127" s="13" t="s">
        <v>17</v>
      </c>
      <c r="C1127" s="13" t="s">
        <v>22</v>
      </c>
      <c r="D1127" s="15" t="n">
        <v>2736</v>
      </c>
      <c r="E1127" s="13" t="n">
        <v>1.00001</v>
      </c>
      <c r="F1127" s="16" t="str">
        <f aca="false">IF(H1127=1,"",D1127/E1127)</f>
        <v/>
      </c>
      <c r="G1127" s="17" t="str">
        <f aca="false">IF(H1127=1,"",D1127/E1127*Notas!$B$3)</f>
        <v/>
      </c>
      <c r="H1127" s="13" t="n">
        <v>1</v>
      </c>
      <c r="I1127" s="17" t="n">
        <f aca="false">IF(H1127=1,D1127,G1127)</f>
        <v>2736</v>
      </c>
    </row>
    <row r="1128" customFormat="false" ht="15" hidden="false" customHeight="false" outlineLevel="0" collapsed="false">
      <c r="A1128" s="13" t="s">
        <v>245</v>
      </c>
      <c r="B1128" s="13" t="s">
        <v>17</v>
      </c>
      <c r="C1128" s="13" t="s">
        <v>23</v>
      </c>
      <c r="D1128" s="15" t="n">
        <v>0.95616</v>
      </c>
      <c r="E1128" s="13" t="n">
        <v>1.00001</v>
      </c>
      <c r="F1128" s="16" t="str">
        <f aca="false">IF(H1128=1,"",D1128/E1128)</f>
        <v/>
      </c>
      <c r="G1128" s="17" t="str">
        <f aca="false">IF(H1128=1,"",D1128/E1128*Notas!$B$3)</f>
        <v/>
      </c>
      <c r="H1128" s="13" t="n">
        <v>1</v>
      </c>
      <c r="I1128" s="17" t="n">
        <f aca="false">IF(H1128=1,D1128,G1128)</f>
        <v>0.95616</v>
      </c>
    </row>
    <row r="1129" customFormat="false" ht="15" hidden="false" customHeight="false" outlineLevel="0" collapsed="false">
      <c r="A1129" s="13" t="s">
        <v>245</v>
      </c>
      <c r="B1129" s="13" t="s">
        <v>17</v>
      </c>
      <c r="C1129" s="13" t="s">
        <v>24</v>
      </c>
      <c r="D1129" s="15" t="n">
        <v>0.02755</v>
      </c>
      <c r="E1129" s="13" t="n">
        <v>1.00001</v>
      </c>
      <c r="F1129" s="16" t="str">
        <f aca="false">IF(H1129=1,"",D1129/E1129)</f>
        <v/>
      </c>
      <c r="G1129" s="17" t="str">
        <f aca="false">IF(H1129=1,"",D1129/E1129*Notas!$B$3)</f>
        <v/>
      </c>
      <c r="H1129" s="13" t="n">
        <v>1</v>
      </c>
      <c r="I1129" s="17" t="n">
        <f aca="false">IF(H1129=1,D1129,G1129)</f>
        <v>0.02755</v>
      </c>
    </row>
    <row r="1130" customFormat="false" ht="15" hidden="false" customHeight="false" outlineLevel="0" collapsed="false">
      <c r="A1130" s="13" t="s">
        <v>245</v>
      </c>
      <c r="B1130" s="13" t="s">
        <v>25</v>
      </c>
      <c r="C1130" s="13" t="s">
        <v>26</v>
      </c>
      <c r="D1130" s="15" t="n">
        <v>58.90568</v>
      </c>
      <c r="E1130" s="13" t="n">
        <v>1.00001</v>
      </c>
      <c r="F1130" s="16" t="str">
        <f aca="false">IF(H1130=1,"",D1130/E1130)</f>
        <v/>
      </c>
      <c r="G1130" s="17" t="str">
        <f aca="false">IF(H1130=1,"",D1130/E1130*Notas!$B$3)</f>
        <v/>
      </c>
      <c r="H1130" s="13" t="n">
        <v>1</v>
      </c>
      <c r="I1130" s="17" t="n">
        <f aca="false">IF(H1130=1,D1130,G1130)</f>
        <v>58.90568</v>
      </c>
    </row>
    <row r="1131" customFormat="false" ht="15" hidden="false" customHeight="false" outlineLevel="0" collapsed="false">
      <c r="A1131" s="13" t="s">
        <v>245</v>
      </c>
      <c r="B1131" s="13" t="s">
        <v>25</v>
      </c>
      <c r="C1131" s="13" t="s">
        <v>27</v>
      </c>
      <c r="D1131" s="15" t="n">
        <v>10.47675</v>
      </c>
      <c r="E1131" s="13" t="n">
        <v>1.00001</v>
      </c>
      <c r="F1131" s="16" t="str">
        <f aca="false">IF(H1131=1,"",D1131/E1131)</f>
        <v/>
      </c>
      <c r="G1131" s="17" t="str">
        <f aca="false">IF(H1131=1,"",D1131/E1131*Notas!$B$3)</f>
        <v/>
      </c>
      <c r="H1131" s="13" t="n">
        <v>1</v>
      </c>
      <c r="I1131" s="17" t="n">
        <f aca="false">IF(H1131=1,D1131,G1131)</f>
        <v>10.47675</v>
      </c>
    </row>
    <row r="1132" customFormat="false" ht="15" hidden="false" customHeight="false" outlineLevel="0" collapsed="false">
      <c r="A1132" s="13" t="s">
        <v>245</v>
      </c>
      <c r="B1132" s="13" t="s">
        <v>25</v>
      </c>
      <c r="C1132" s="13" t="s">
        <v>28</v>
      </c>
      <c r="D1132" s="15" t="n">
        <v>17.55764</v>
      </c>
      <c r="E1132" s="13" t="n">
        <v>1.00001</v>
      </c>
      <c r="F1132" s="16" t="str">
        <f aca="false">IF(H1132=1,"",D1132/E1132)</f>
        <v/>
      </c>
      <c r="G1132" s="17" t="str">
        <f aca="false">IF(H1132=1,"",D1132/E1132*Notas!$B$3)</f>
        <v/>
      </c>
      <c r="H1132" s="13" t="n">
        <v>1</v>
      </c>
      <c r="I1132" s="17" t="n">
        <f aca="false">IF(H1132=1,D1132,G1132)</f>
        <v>17.55764</v>
      </c>
    </row>
    <row r="1133" customFormat="false" ht="15" hidden="false" customHeight="false" outlineLevel="0" collapsed="false">
      <c r="A1133" s="13" t="s">
        <v>245</v>
      </c>
      <c r="B1133" s="13" t="s">
        <v>25</v>
      </c>
      <c r="C1133" s="13" t="s">
        <v>29</v>
      </c>
      <c r="D1133" s="15" t="n">
        <v>13.05993</v>
      </c>
      <c r="E1133" s="13" t="n">
        <v>1.00001</v>
      </c>
      <c r="F1133" s="16" t="str">
        <f aca="false">IF(H1133=1,"",D1133/E1133)</f>
        <v/>
      </c>
      <c r="G1133" s="17" t="str">
        <f aca="false">IF(H1133=1,"",D1133/E1133*Notas!$B$3)</f>
        <v/>
      </c>
      <c r="H1133" s="13" t="n">
        <v>1</v>
      </c>
      <c r="I1133" s="17" t="n">
        <f aca="false">IF(H1133=1,D1133,G1133)</f>
        <v>13.05993</v>
      </c>
    </row>
    <row r="1134" customFormat="false" ht="15" hidden="false" customHeight="false" outlineLevel="0" collapsed="false">
      <c r="A1134" s="13" t="s">
        <v>245</v>
      </c>
      <c r="B1134" s="13" t="s">
        <v>30</v>
      </c>
      <c r="C1134" s="13" t="s">
        <v>31</v>
      </c>
      <c r="D1134" s="15" t="n">
        <v>0.4</v>
      </c>
      <c r="E1134" s="13" t="n">
        <v>1.00001</v>
      </c>
      <c r="F1134" s="16" t="n">
        <f aca="false">IF(H1134=1,"",D1134/E1134)</f>
        <v>0.39999600004</v>
      </c>
      <c r="G1134" s="17" t="n">
        <f aca="false">IF(H1134=1,"",D1134/E1134*Notas!$B$3)</f>
        <v>37.9996200038</v>
      </c>
      <c r="H1134" s="13" t="n">
        <v>0</v>
      </c>
      <c r="I1134" s="17" t="n">
        <f aca="false">IF(H1134=1,D1134,G1134)</f>
        <v>37.9996200038</v>
      </c>
    </row>
    <row r="1135" customFormat="false" ht="15" hidden="false" customHeight="false" outlineLevel="0" collapsed="false">
      <c r="A1135" s="13" t="s">
        <v>245</v>
      </c>
      <c r="B1135" s="13" t="s">
        <v>30</v>
      </c>
      <c r="C1135" s="13" t="s">
        <v>32</v>
      </c>
      <c r="D1135" s="15" t="n">
        <v>0.6</v>
      </c>
      <c r="E1135" s="13" t="n">
        <v>1.00001</v>
      </c>
      <c r="F1135" s="16" t="n">
        <f aca="false">IF(H1135=1,"",D1135/E1135)</f>
        <v>0.599994000059999</v>
      </c>
      <c r="G1135" s="17" t="n">
        <f aca="false">IF(H1135=1,"",D1135/E1135*Notas!$B$3)</f>
        <v>56.9994300056999</v>
      </c>
      <c r="H1135" s="13" t="n">
        <v>0</v>
      </c>
      <c r="I1135" s="17" t="n">
        <f aca="false">IF(H1135=1,D1135,G1135)</f>
        <v>56.9994300056999</v>
      </c>
    </row>
    <row r="1136" customFormat="false" ht="15" hidden="false" customHeight="false" outlineLevel="0" collapsed="false">
      <c r="A1136" s="13" t="s">
        <v>245</v>
      </c>
      <c r="B1136" s="13" t="s">
        <v>30</v>
      </c>
      <c r="C1136" s="13" t="s">
        <v>33</v>
      </c>
      <c r="D1136" s="15" t="n">
        <v>0.37137</v>
      </c>
      <c r="E1136" s="13" t="n">
        <v>1.00001</v>
      </c>
      <c r="F1136" s="16" t="n">
        <f aca="false">IF(H1136=1,"",D1136/E1136)</f>
        <v>0.371366286337137</v>
      </c>
      <c r="G1136" s="17" t="n">
        <f aca="false">IF(H1136=1,"",D1136/E1136*Notas!$B$3)</f>
        <v>35.279797202028</v>
      </c>
      <c r="H1136" s="13" t="n">
        <v>0</v>
      </c>
      <c r="I1136" s="17" t="n">
        <f aca="false">IF(H1136=1,D1136,G1136)</f>
        <v>35.279797202028</v>
      </c>
    </row>
    <row r="1137" customFormat="false" ht="15" hidden="false" customHeight="false" outlineLevel="0" collapsed="false">
      <c r="A1137" s="13" t="s">
        <v>245</v>
      </c>
      <c r="B1137" s="13" t="s">
        <v>30</v>
      </c>
      <c r="C1137" s="13" t="s">
        <v>34</v>
      </c>
      <c r="D1137" s="15" t="n">
        <v>0.32759</v>
      </c>
      <c r="E1137" s="13" t="n">
        <v>1.00001</v>
      </c>
      <c r="F1137" s="16" t="n">
        <f aca="false">IF(H1137=1,"",D1137/E1137)</f>
        <v>0.327586724132759</v>
      </c>
      <c r="G1137" s="17" t="n">
        <f aca="false">IF(H1137=1,"",D1137/E1137*Notas!$B$3)</f>
        <v>31.1207387926121</v>
      </c>
      <c r="H1137" s="13" t="n">
        <v>0</v>
      </c>
      <c r="I1137" s="17" t="n">
        <f aca="false">IF(H1137=1,D1137,G1137)</f>
        <v>31.1207387926121</v>
      </c>
    </row>
    <row r="1138" customFormat="false" ht="15" hidden="false" customHeight="false" outlineLevel="0" collapsed="false">
      <c r="A1138" s="13" t="s">
        <v>245</v>
      </c>
      <c r="B1138" s="13" t="s">
        <v>35</v>
      </c>
      <c r="C1138" s="13" t="s">
        <v>36</v>
      </c>
      <c r="D1138" s="15" t="n">
        <v>1.66667</v>
      </c>
      <c r="E1138" s="13" t="n">
        <v>1.00001</v>
      </c>
      <c r="F1138" s="16" t="str">
        <f aca="false">IF(H1138=1,"",D1138/E1138)</f>
        <v/>
      </c>
      <c r="G1138" s="17" t="str">
        <f aca="false">IF(H1138=1,"",D1138/E1138*Notas!$B$3)</f>
        <v/>
      </c>
      <c r="H1138" s="13" t="n">
        <v>1</v>
      </c>
      <c r="I1138" s="17" t="n">
        <f aca="false">IF(H1138=1,D1138,G1138)</f>
        <v>1.66667</v>
      </c>
    </row>
    <row r="1139" customFormat="false" ht="15" hidden="false" customHeight="false" outlineLevel="0" collapsed="false">
      <c r="A1139" s="13" t="s">
        <v>245</v>
      </c>
      <c r="B1139" s="13" t="s">
        <v>35</v>
      </c>
      <c r="C1139" s="13" t="s">
        <v>37</v>
      </c>
      <c r="D1139" s="15" t="n">
        <v>60</v>
      </c>
      <c r="E1139" s="13" t="n">
        <v>1.00001</v>
      </c>
      <c r="F1139" s="16" t="str">
        <f aca="false">IF(H1139=1,"",D1139/E1139)</f>
        <v/>
      </c>
      <c r="G1139" s="17" t="str">
        <f aca="false">IF(H1139=1,"",D1139/E1139*Notas!$B$3)</f>
        <v/>
      </c>
      <c r="H1139" s="13" t="n">
        <v>1</v>
      </c>
      <c r="I1139" s="17" t="n">
        <f aca="false">IF(H1139=1,D1139,G1139)</f>
        <v>60</v>
      </c>
    </row>
    <row r="1140" customFormat="false" ht="15" hidden="false" customHeight="false" outlineLevel="0" collapsed="false">
      <c r="A1140" s="13" t="s">
        <v>245</v>
      </c>
      <c r="B1140" s="13" t="s">
        <v>38</v>
      </c>
      <c r="C1140" s="13" t="s">
        <v>39</v>
      </c>
      <c r="D1140" s="15" t="n">
        <v>0.49419</v>
      </c>
      <c r="E1140" s="13" t="n">
        <v>1.00001</v>
      </c>
      <c r="F1140" s="16" t="n">
        <f aca="false">IF(H1140=1,"",D1140/E1140)</f>
        <v>0.494185058149419</v>
      </c>
      <c r="G1140" s="17" t="n">
        <f aca="false">IF(H1140=1,"",D1140/E1140*Notas!$B$3)</f>
        <v>46.9475805241948</v>
      </c>
      <c r="H1140" s="13" t="n">
        <v>0</v>
      </c>
      <c r="I1140" s="17" t="n">
        <f aca="false">IF(H1140=1,D1140,G1140)</f>
        <v>46.9475805241948</v>
      </c>
    </row>
    <row r="1141" customFormat="false" ht="15" hidden="false" customHeight="false" outlineLevel="0" collapsed="false">
      <c r="A1141" s="13" t="s">
        <v>245</v>
      </c>
      <c r="B1141" s="13" t="s">
        <v>38</v>
      </c>
      <c r="C1141" s="13" t="s">
        <v>40</v>
      </c>
      <c r="D1141" s="15" t="n">
        <v>0.08806</v>
      </c>
      <c r="E1141" s="13" t="n">
        <v>1.00001</v>
      </c>
      <c r="F1141" s="16" t="n">
        <f aca="false">IF(H1141=1,"",D1141/E1141)</f>
        <v>0.0880591194088059</v>
      </c>
      <c r="G1141" s="17" t="n">
        <f aca="false">IF(H1141=1,"",D1141/E1141*Notas!$B$3)</f>
        <v>8.36561634383656</v>
      </c>
      <c r="H1141" s="13" t="n">
        <v>0</v>
      </c>
      <c r="I1141" s="17" t="n">
        <f aca="false">IF(H1141=1,D1141,G1141)</f>
        <v>8.36561634383656</v>
      </c>
    </row>
    <row r="1142" customFormat="false" ht="15" hidden="false" customHeight="false" outlineLevel="0" collapsed="false">
      <c r="A1142" s="13" t="s">
        <v>245</v>
      </c>
      <c r="B1142" s="13" t="s">
        <v>38</v>
      </c>
      <c r="C1142" s="13" t="s">
        <v>41</v>
      </c>
      <c r="D1142" s="15" t="n">
        <v>0.11138</v>
      </c>
      <c r="E1142" s="13" t="n">
        <v>1.00001</v>
      </c>
      <c r="F1142" s="16" t="n">
        <f aca="false">IF(H1142=1,"",D1142/E1142)</f>
        <v>0.111378886211138</v>
      </c>
      <c r="G1142" s="17" t="n">
        <f aca="false">IF(H1142=1,"",D1142/E1142*Notas!$B$3)</f>
        <v>10.5809941900581</v>
      </c>
      <c r="H1142" s="13" t="n">
        <v>0</v>
      </c>
      <c r="I1142" s="17" t="n">
        <f aca="false">IF(H1142=1,D1142,G1142)</f>
        <v>10.5809941900581</v>
      </c>
    </row>
    <row r="1143" customFormat="false" ht="15" hidden="false" customHeight="false" outlineLevel="0" collapsed="false">
      <c r="A1143" s="13" t="s">
        <v>245</v>
      </c>
      <c r="B1143" s="13" t="s">
        <v>38</v>
      </c>
      <c r="C1143" s="13" t="s">
        <v>42</v>
      </c>
      <c r="D1143" s="15" t="n">
        <v>-0.07024</v>
      </c>
      <c r="E1143" s="13" t="n">
        <v>1.00001</v>
      </c>
      <c r="F1143" s="16" t="n">
        <f aca="false">IF(H1143=1,"",D1143/E1143)</f>
        <v>-0.0702392976070239</v>
      </c>
      <c r="G1143" s="17" t="n">
        <f aca="false">IF(H1143=1,"",D1143/E1143*Notas!$B$3)</f>
        <v>-6.67273327266727</v>
      </c>
      <c r="H1143" s="13" t="n">
        <v>0</v>
      </c>
      <c r="I1143" s="17" t="n">
        <f aca="false">IF(H1143=1,D1143,G1143)</f>
        <v>-6.67273327266727</v>
      </c>
    </row>
    <row r="1144" customFormat="false" ht="15" hidden="false" customHeight="false" outlineLevel="0" collapsed="false">
      <c r="A1144" s="13" t="s">
        <v>245</v>
      </c>
      <c r="B1144" s="13" t="s">
        <v>38</v>
      </c>
      <c r="C1144" s="13" t="s">
        <v>43</v>
      </c>
      <c r="D1144" s="15" t="n">
        <v>0.57347</v>
      </c>
      <c r="E1144" s="13" t="n">
        <v>1.00001</v>
      </c>
      <c r="F1144" s="16" t="n">
        <f aca="false">IF(H1144=1,"",D1144/E1144)</f>
        <v>0.573464265357346</v>
      </c>
      <c r="G1144" s="17" t="n">
        <f aca="false">IF(H1144=1,"",D1144/E1144*Notas!$B$3)</f>
        <v>54.4791052089479</v>
      </c>
      <c r="H1144" s="13" t="n">
        <v>0</v>
      </c>
      <c r="I1144" s="17" t="n">
        <f aca="false">IF(H1144=1,D1144,G1144)</f>
        <v>54.4791052089479</v>
      </c>
    </row>
    <row r="1145" customFormat="false" ht="15" hidden="false" customHeight="false" outlineLevel="0" collapsed="false">
      <c r="A1145" s="13" t="s">
        <v>245</v>
      </c>
      <c r="B1145" s="13" t="s">
        <v>38</v>
      </c>
      <c r="C1145" s="13" t="s">
        <v>44</v>
      </c>
      <c r="D1145" s="15" t="n">
        <v>0.08279</v>
      </c>
      <c r="E1145" s="13" t="n">
        <v>1.00001</v>
      </c>
      <c r="F1145" s="16" t="n">
        <f aca="false">IF(H1145=1,"",D1145/E1145)</f>
        <v>0.0827891721082789</v>
      </c>
      <c r="G1145" s="17" t="n">
        <f aca="false">IF(H1145=1,"",D1145/E1145*Notas!$B$3)</f>
        <v>7.8649713502865</v>
      </c>
      <c r="H1145" s="13" t="n">
        <v>0</v>
      </c>
      <c r="I1145" s="17" t="n">
        <f aca="false">IF(H1145=1,D1145,G1145)</f>
        <v>7.8649713502865</v>
      </c>
    </row>
    <row r="1146" customFormat="false" ht="15" hidden="false" customHeight="false" outlineLevel="0" collapsed="false">
      <c r="A1146" s="13" t="s">
        <v>245</v>
      </c>
      <c r="B1146" s="13" t="s">
        <v>38</v>
      </c>
      <c r="C1146" s="13" t="s">
        <v>45</v>
      </c>
      <c r="D1146" s="15" t="n">
        <v>0.16828</v>
      </c>
      <c r="E1146" s="13" t="n">
        <v>1.00001</v>
      </c>
      <c r="F1146" s="16" t="n">
        <f aca="false">IF(H1146=1,"",D1146/E1146)</f>
        <v>0.168278317216828</v>
      </c>
      <c r="G1146" s="17" t="n">
        <f aca="false">IF(H1146=1,"",D1146/E1146*Notas!$B$3)</f>
        <v>15.9864401355986</v>
      </c>
      <c r="H1146" s="13" t="n">
        <v>0</v>
      </c>
      <c r="I1146" s="17" t="n">
        <f aca="false">IF(H1146=1,D1146,G1146)</f>
        <v>15.9864401355986</v>
      </c>
    </row>
    <row r="1147" customFormat="false" ht="15" hidden="false" customHeight="false" outlineLevel="0" collapsed="false">
      <c r="A1147" s="13" t="s">
        <v>245</v>
      </c>
      <c r="B1147" s="13" t="s">
        <v>38</v>
      </c>
      <c r="C1147" s="13" t="s">
        <v>46</v>
      </c>
      <c r="D1147" s="15" t="n">
        <v>0.05516</v>
      </c>
      <c r="E1147" s="13" t="n">
        <v>1.00001</v>
      </c>
      <c r="F1147" s="16" t="n">
        <f aca="false">IF(H1147=1,"",D1147/E1147)</f>
        <v>0.0551594484055159</v>
      </c>
      <c r="G1147" s="17" t="n">
        <f aca="false">IF(H1147=1,"",D1147/E1147*Notas!$B$3)</f>
        <v>5.24014759852402</v>
      </c>
      <c r="H1147" s="13" t="n">
        <v>0</v>
      </c>
      <c r="I1147" s="17" t="n">
        <f aca="false">IF(H1147=1,D1147,G1147)</f>
        <v>5.24014759852402</v>
      </c>
    </row>
    <row r="1148" customFormat="false" ht="15" hidden="false" customHeight="false" outlineLevel="0" collapsed="false">
      <c r="A1148" s="13" t="s">
        <v>245</v>
      </c>
      <c r="B1148" s="13" t="s">
        <v>38</v>
      </c>
      <c r="C1148" s="13" t="s">
        <v>47</v>
      </c>
      <c r="D1148" s="15" t="n">
        <v>0.21912</v>
      </c>
      <c r="E1148" s="13" t="n">
        <v>1.00001</v>
      </c>
      <c r="F1148" s="16" t="n">
        <f aca="false">IF(H1148=1,"",D1148/E1148)</f>
        <v>0.219117808821912</v>
      </c>
      <c r="G1148" s="17" t="n">
        <f aca="false">IF(H1148=1,"",D1148/E1148*Notas!$B$3)</f>
        <v>20.8161918380816</v>
      </c>
      <c r="H1148" s="13" t="n">
        <v>0</v>
      </c>
      <c r="I1148" s="17" t="n">
        <f aca="false">IF(H1148=1,D1148,G1148)</f>
        <v>20.8161918380816</v>
      </c>
    </row>
    <row r="1149" customFormat="false" ht="15" hidden="false" customHeight="false" outlineLevel="0" collapsed="false">
      <c r="A1149" s="13" t="s">
        <v>245</v>
      </c>
      <c r="B1149" s="13" t="s">
        <v>38</v>
      </c>
      <c r="C1149" s="13" t="s">
        <v>48</v>
      </c>
      <c r="D1149" s="15" t="n">
        <v>0.21082</v>
      </c>
      <c r="E1149" s="13" t="n">
        <v>1.00001</v>
      </c>
      <c r="F1149" s="16" t="n">
        <f aca="false">IF(H1149=1,"",D1149/E1149)</f>
        <v>0.210817891821082</v>
      </c>
      <c r="G1149" s="17" t="n">
        <f aca="false">IF(H1149=1,"",D1149/E1149*Notas!$B$3)</f>
        <v>20.0276997230028</v>
      </c>
      <c r="H1149" s="13" t="n">
        <v>0</v>
      </c>
      <c r="I1149" s="17" t="n">
        <f aca="false">IF(H1149=1,D1149,G1149)</f>
        <v>20.0276997230028</v>
      </c>
    </row>
    <row r="1150" customFormat="false" ht="15" hidden="false" customHeight="false" outlineLevel="0" collapsed="false">
      <c r="A1150" s="13" t="s">
        <v>245</v>
      </c>
      <c r="B1150" s="13" t="s">
        <v>30</v>
      </c>
      <c r="C1150" s="13" t="s">
        <v>49</v>
      </c>
      <c r="D1150" s="15" t="n">
        <v>0.28796</v>
      </c>
      <c r="E1150" s="13" t="n">
        <v>1.00001</v>
      </c>
      <c r="F1150" s="16" t="n">
        <f aca="false">IF(H1150=1,"",D1150/E1150)</f>
        <v>0.287957120428796</v>
      </c>
      <c r="G1150" s="17" t="n">
        <f aca="false">IF(H1150=1,"",D1150/E1150*Notas!$B$3)</f>
        <v>27.3559264407356</v>
      </c>
      <c r="H1150" s="13" t="n">
        <v>0</v>
      </c>
      <c r="I1150" s="17" t="n">
        <f aca="false">IF(H1150=1,D1150,G1150)</f>
        <v>27.3559264407356</v>
      </c>
    </row>
    <row r="1151" customFormat="false" ht="15" hidden="false" customHeight="false" outlineLevel="0" collapsed="false">
      <c r="A1151" s="13" t="s">
        <v>245</v>
      </c>
      <c r="B1151" s="13" t="s">
        <v>30</v>
      </c>
      <c r="C1151" s="13" t="s">
        <v>50</v>
      </c>
      <c r="D1151" s="15" t="n">
        <v>0.30138</v>
      </c>
      <c r="E1151" s="13" t="n">
        <v>1.00001</v>
      </c>
      <c r="F1151" s="16" t="n">
        <f aca="false">IF(H1151=1,"",D1151/E1151)</f>
        <v>0.301376986230138</v>
      </c>
      <c r="G1151" s="17" t="n">
        <f aca="false">IF(H1151=1,"",D1151/E1151*Notas!$B$3)</f>
        <v>28.6308136918631</v>
      </c>
      <c r="H1151" s="13" t="n">
        <v>0</v>
      </c>
      <c r="I1151" s="17" t="n">
        <f aca="false">IF(H1151=1,D1151,G1151)</f>
        <v>28.6308136918631</v>
      </c>
    </row>
    <row r="1152" customFormat="false" ht="15" hidden="false" customHeight="false" outlineLevel="0" collapsed="false">
      <c r="A1152" s="13" t="s">
        <v>245</v>
      </c>
      <c r="B1152" s="13" t="s">
        <v>30</v>
      </c>
      <c r="C1152" s="13" t="s">
        <v>51</v>
      </c>
      <c r="D1152" s="15" t="n">
        <v>1.28804</v>
      </c>
      <c r="E1152" s="13" t="n">
        <v>1.00001</v>
      </c>
      <c r="F1152" s="16" t="n">
        <f aca="false">IF(H1152=1,"",D1152/E1152)</f>
        <v>1.2880271197288</v>
      </c>
      <c r="G1152" s="17" t="n">
        <f aca="false">IF(H1152=1,"",D1152/E1152*Notas!$B$3)</f>
        <v>122.362576374236</v>
      </c>
      <c r="H1152" s="13" t="n">
        <v>0</v>
      </c>
      <c r="I1152" s="17" t="n">
        <f aca="false">IF(H1152=1,D1152,G1152)</f>
        <v>122.362576374236</v>
      </c>
    </row>
    <row r="1153" customFormat="false" ht="15" hidden="false" customHeight="false" outlineLevel="0" collapsed="false">
      <c r="A1153" s="13" t="s">
        <v>245</v>
      </c>
      <c r="B1153" s="13" t="s">
        <v>30</v>
      </c>
      <c r="C1153" s="13" t="s">
        <v>52</v>
      </c>
      <c r="D1153" s="15" t="n">
        <v>0.28282</v>
      </c>
      <c r="E1153" s="13" t="n">
        <v>1.00001</v>
      </c>
      <c r="F1153" s="16" t="n">
        <f aca="false">IF(H1153=1,"",D1153/E1153)</f>
        <v>0.282817171828282</v>
      </c>
      <c r="G1153" s="17" t="n">
        <f aca="false">IF(H1153=1,"",D1153/E1153*Notas!$B$3)</f>
        <v>26.8676313236868</v>
      </c>
      <c r="H1153" s="13" t="n">
        <v>0</v>
      </c>
      <c r="I1153" s="17" t="n">
        <f aca="false">IF(H1153=1,D1153,G1153)</f>
        <v>26.8676313236868</v>
      </c>
    </row>
    <row r="1154" customFormat="false" ht="15" hidden="false" customHeight="false" outlineLevel="0" collapsed="false">
      <c r="A1154" s="13" t="s">
        <v>245</v>
      </c>
      <c r="B1154" s="13" t="s">
        <v>30</v>
      </c>
      <c r="C1154" s="13" t="s">
        <v>53</v>
      </c>
      <c r="D1154" s="15" t="n">
        <v>0.2838</v>
      </c>
      <c r="E1154" s="13" t="n">
        <v>1.00001</v>
      </c>
      <c r="F1154" s="16" t="n">
        <f aca="false">IF(H1154=1,"",D1154/E1154)</f>
        <v>0.28379716202838</v>
      </c>
      <c r="G1154" s="17" t="n">
        <f aca="false">IF(H1154=1,"",D1154/E1154*Notas!$B$3)</f>
        <v>26.9607303926961</v>
      </c>
      <c r="H1154" s="13" t="n">
        <v>0</v>
      </c>
      <c r="I1154" s="17" t="n">
        <f aca="false">IF(H1154=1,D1154,G1154)</f>
        <v>26.9607303926961</v>
      </c>
    </row>
    <row r="1155" customFormat="false" ht="15" hidden="false" customHeight="false" outlineLevel="0" collapsed="false">
      <c r="A1155" s="13" t="s">
        <v>245</v>
      </c>
      <c r="B1155" s="13" t="s">
        <v>30</v>
      </c>
      <c r="C1155" s="13" t="s">
        <v>54</v>
      </c>
      <c r="D1155" s="15" t="n">
        <v>1.10472</v>
      </c>
      <c r="E1155" s="13" t="n">
        <v>1.00001</v>
      </c>
      <c r="F1155" s="16" t="n">
        <f aca="false">IF(H1155=1,"",D1155/E1155)</f>
        <v>1.10470895291047</v>
      </c>
      <c r="G1155" s="17" t="n">
        <f aca="false">IF(H1155=1,"",D1155/E1155*Notas!$B$3)</f>
        <v>104.947350526495</v>
      </c>
      <c r="H1155" s="13" t="n">
        <v>0</v>
      </c>
      <c r="I1155" s="17" t="n">
        <f aca="false">IF(H1155=1,D1155,G1155)</f>
        <v>104.947350526495</v>
      </c>
    </row>
    <row r="1156" customFormat="false" ht="15" hidden="false" customHeight="false" outlineLevel="0" collapsed="false">
      <c r="A1156" s="13" t="s">
        <v>245</v>
      </c>
      <c r="B1156" s="13" t="s">
        <v>58</v>
      </c>
      <c r="C1156" s="13" t="s">
        <v>59</v>
      </c>
      <c r="D1156" s="15" t="n">
        <v>0.58056</v>
      </c>
      <c r="E1156" s="13" t="n">
        <v>1.00001</v>
      </c>
      <c r="F1156" s="16" t="n">
        <f aca="false">IF(H1156=1,"",D1156/E1156)</f>
        <v>0.580554194458055</v>
      </c>
      <c r="G1156" s="17" t="n">
        <f aca="false">IF(H1156=1,"",D1156/E1156*Notas!$B$3)</f>
        <v>55.1526484735153</v>
      </c>
      <c r="H1156" s="13" t="n">
        <v>0</v>
      </c>
      <c r="I1156" s="17" t="n">
        <f aca="false">IF(H1156=1,D1156,G1156)</f>
        <v>55.1526484735153</v>
      </c>
    </row>
    <row r="1157" customFormat="false" ht="15" hidden="false" customHeight="false" outlineLevel="0" collapsed="false">
      <c r="A1157" s="13" t="s">
        <v>245</v>
      </c>
      <c r="B1157" s="13" t="s">
        <v>58</v>
      </c>
      <c r="C1157" s="13" t="s">
        <v>60</v>
      </c>
      <c r="D1157" s="15" t="n">
        <v>0.16117</v>
      </c>
      <c r="E1157" s="13" t="n">
        <v>1.00001</v>
      </c>
      <c r="F1157" s="16" t="n">
        <f aca="false">IF(H1157=1,"",D1157/E1157)</f>
        <v>0.161168388316117</v>
      </c>
      <c r="G1157" s="17" t="n">
        <f aca="false">IF(H1157=1,"",D1157/E1157*Notas!$B$3)</f>
        <v>15.3109968900311</v>
      </c>
      <c r="H1157" s="13" t="n">
        <v>0</v>
      </c>
      <c r="I1157" s="17" t="n">
        <f aca="false">IF(H1157=1,D1157,G1157)</f>
        <v>15.3109968900311</v>
      </c>
    </row>
    <row r="1158" customFormat="false" ht="15" hidden="false" customHeight="false" outlineLevel="0" collapsed="false">
      <c r="A1158" s="13" t="s">
        <v>245</v>
      </c>
      <c r="B1158" s="13" t="s">
        <v>58</v>
      </c>
      <c r="C1158" s="13" t="s">
        <v>61</v>
      </c>
      <c r="D1158" s="15" t="n">
        <v>0.59377</v>
      </c>
      <c r="E1158" s="13" t="n">
        <v>1.00001</v>
      </c>
      <c r="F1158" s="16" t="n">
        <f aca="false">IF(H1158=1,"",D1158/E1158)</f>
        <v>0.593764062359376</v>
      </c>
      <c r="G1158" s="17" t="n">
        <f aca="false">IF(H1158=1,"",D1158/E1158*Notas!$B$3)</f>
        <v>56.4075859241408</v>
      </c>
      <c r="H1158" s="13" t="n">
        <v>0</v>
      </c>
      <c r="I1158" s="17" t="n">
        <f aca="false">IF(H1158=1,D1158,G1158)</f>
        <v>56.4075859241408</v>
      </c>
    </row>
    <row r="1159" customFormat="false" ht="15" hidden="false" customHeight="false" outlineLevel="0" collapsed="false">
      <c r="A1159" s="13" t="s">
        <v>245</v>
      </c>
      <c r="B1159" s="13" t="s">
        <v>58</v>
      </c>
      <c r="C1159" s="13" t="s">
        <v>62</v>
      </c>
      <c r="D1159" s="15" t="n">
        <v>0.16836</v>
      </c>
      <c r="E1159" s="13" t="n">
        <v>1.00001</v>
      </c>
      <c r="F1159" s="16" t="n">
        <f aca="false">IF(H1159=1,"",D1159/E1159)</f>
        <v>0.168358316416836</v>
      </c>
      <c r="G1159" s="17" t="n">
        <f aca="false">IF(H1159=1,"",D1159/E1159*Notas!$B$3)</f>
        <v>15.9940400595994</v>
      </c>
      <c r="H1159" s="13" t="n">
        <v>0</v>
      </c>
      <c r="I1159" s="17" t="n">
        <f aca="false">IF(H1159=1,D1159,G1159)</f>
        <v>15.9940400595994</v>
      </c>
    </row>
    <row r="1160" customFormat="false" ht="15" hidden="false" customHeight="false" outlineLevel="0" collapsed="false">
      <c r="A1160" s="13" t="s">
        <v>245</v>
      </c>
      <c r="B1160" s="13" t="s">
        <v>63</v>
      </c>
      <c r="C1160" s="13" t="s">
        <v>64</v>
      </c>
      <c r="D1160" s="15" t="n">
        <v>0.40464</v>
      </c>
      <c r="E1160" s="13" t="n">
        <v>1.00001</v>
      </c>
      <c r="F1160" s="16" t="n">
        <f aca="false">IF(H1160=1,"",D1160/E1160)</f>
        <v>0.404635953640464</v>
      </c>
      <c r="G1160" s="17" t="n">
        <f aca="false">IF(H1160=1,"",D1160/E1160*Notas!$B$3)</f>
        <v>38.440415595844</v>
      </c>
      <c r="H1160" s="13" t="n">
        <v>0</v>
      </c>
      <c r="I1160" s="17" t="n">
        <f aca="false">IF(H1160=1,D1160,G1160)</f>
        <v>38.440415595844</v>
      </c>
    </row>
    <row r="1161" customFormat="false" ht="15" hidden="false" customHeight="false" outlineLevel="0" collapsed="false">
      <c r="A1161" s="13" t="s">
        <v>245</v>
      </c>
      <c r="B1161" s="13" t="s">
        <v>63</v>
      </c>
      <c r="C1161" s="13" t="s">
        <v>65</v>
      </c>
      <c r="D1161" s="15" t="n">
        <v>0.21</v>
      </c>
      <c r="E1161" s="13" t="n">
        <v>1.00001</v>
      </c>
      <c r="F1161" s="16" t="n">
        <f aca="false">IF(H1161=1,"",D1161/E1161)</f>
        <v>0.209997900021</v>
      </c>
      <c r="G1161" s="17" t="n">
        <f aca="false">IF(H1161=1,"",D1161/E1161*Notas!$B$3)</f>
        <v>19.949800501995</v>
      </c>
      <c r="H1161" s="13" t="n">
        <v>0</v>
      </c>
      <c r="I1161" s="17" t="n">
        <f aca="false">IF(H1161=1,D1161,G1161)</f>
        <v>19.949800501995</v>
      </c>
    </row>
    <row r="1162" customFormat="false" ht="15" hidden="false" customHeight="false" outlineLevel="0" collapsed="false">
      <c r="A1162" s="13" t="s">
        <v>245</v>
      </c>
      <c r="B1162" s="13" t="s">
        <v>63</v>
      </c>
      <c r="C1162" s="13" t="s">
        <v>66</v>
      </c>
      <c r="D1162" s="15" t="n">
        <v>0.19464</v>
      </c>
      <c r="E1162" s="13" t="n">
        <v>1.00001</v>
      </c>
      <c r="F1162" s="16" t="n">
        <f aca="false">IF(H1162=1,"",D1162/E1162)</f>
        <v>0.194638053619464</v>
      </c>
      <c r="G1162" s="17" t="n">
        <f aca="false">IF(H1162=1,"",D1162/E1162*Notas!$B$3)</f>
        <v>18.4906150938491</v>
      </c>
      <c r="H1162" s="13" t="n">
        <v>0</v>
      </c>
      <c r="I1162" s="17" t="n">
        <f aca="false">IF(H1162=1,D1162,G1162)</f>
        <v>18.4906150938491</v>
      </c>
    </row>
    <row r="1163" customFormat="false" ht="15" hidden="false" customHeight="false" outlineLevel="0" collapsed="false">
      <c r="A1163" s="13" t="s">
        <v>245</v>
      </c>
      <c r="B1163" s="13" t="s">
        <v>63</v>
      </c>
      <c r="C1163" s="13" t="s">
        <v>67</v>
      </c>
      <c r="D1163" s="15" t="n">
        <v>0.18433</v>
      </c>
      <c r="E1163" s="13" t="n">
        <v>1.00001</v>
      </c>
      <c r="F1163" s="16" t="n">
        <f aca="false">IF(H1163=1,"",D1163/E1163)</f>
        <v>0.184328156718433</v>
      </c>
      <c r="G1163" s="17" t="n">
        <f aca="false">IF(H1163=1,"",D1163/E1163*Notas!$B$3)</f>
        <v>17.5111748882511</v>
      </c>
      <c r="H1163" s="13" t="n">
        <v>0</v>
      </c>
      <c r="I1163" s="17" t="n">
        <f aca="false">IF(H1163=1,D1163,G1163)</f>
        <v>17.5111748882511</v>
      </c>
    </row>
    <row r="1164" customFormat="false" ht="15" hidden="false" customHeight="false" outlineLevel="0" collapsed="false">
      <c r="A1164" s="13" t="s">
        <v>245</v>
      </c>
      <c r="B1164" s="13" t="s">
        <v>63</v>
      </c>
      <c r="C1164" s="13" t="s">
        <v>68</v>
      </c>
      <c r="D1164" s="15" t="n">
        <v>0.16562</v>
      </c>
      <c r="E1164" s="13" t="n">
        <v>1.00001</v>
      </c>
      <c r="F1164" s="16" t="n">
        <f aca="false">IF(H1164=1,"",D1164/E1164)</f>
        <v>0.165618343816562</v>
      </c>
      <c r="G1164" s="17" t="n">
        <f aca="false">IF(H1164=1,"",D1164/E1164*Notas!$B$3)</f>
        <v>15.7337426625734</v>
      </c>
      <c r="H1164" s="13" t="n">
        <v>0</v>
      </c>
      <c r="I1164" s="17" t="n">
        <f aca="false">IF(H1164=1,D1164,G1164)</f>
        <v>15.7337426625734</v>
      </c>
    </row>
    <row r="1165" customFormat="false" ht="15" hidden="false" customHeight="false" outlineLevel="0" collapsed="false">
      <c r="A1165" s="13" t="s">
        <v>245</v>
      </c>
      <c r="B1165" s="13" t="s">
        <v>178</v>
      </c>
      <c r="C1165" s="13" t="s">
        <v>179</v>
      </c>
      <c r="D1165" s="15" t="n">
        <v>0.34328</v>
      </c>
      <c r="E1165" s="13" t="n">
        <v>1.00001</v>
      </c>
      <c r="F1165" s="16" t="n">
        <f aca="false">IF(H1165=1,"",D1165/E1165)</f>
        <v>0.343276567234328</v>
      </c>
      <c r="G1165" s="17" t="n">
        <f aca="false">IF(H1165=1,"",D1165/E1165*Notas!$B$3)</f>
        <v>32.6112738872611</v>
      </c>
      <c r="H1165" s="13" t="n">
        <v>0</v>
      </c>
      <c r="I1165" s="17" t="n">
        <f aca="false">IF(H1165=1,D1165,G1165)</f>
        <v>32.6112738872611</v>
      </c>
    </row>
    <row r="1166" customFormat="false" ht="15" hidden="false" customHeight="false" outlineLevel="0" collapsed="false">
      <c r="A1166" s="13" t="s">
        <v>245</v>
      </c>
      <c r="B1166" s="13" t="s">
        <v>178</v>
      </c>
      <c r="C1166" s="13" t="s">
        <v>180</v>
      </c>
      <c r="D1166" s="15" t="n">
        <v>0.29336</v>
      </c>
      <c r="E1166" s="13" t="n">
        <v>1.00001</v>
      </c>
      <c r="F1166" s="16" t="n">
        <f aca="false">IF(H1166=1,"",D1166/E1166)</f>
        <v>0.293357066429336</v>
      </c>
      <c r="G1166" s="17" t="n">
        <f aca="false">IF(H1166=1,"",D1166/E1166*Notas!$B$3)</f>
        <v>27.8689213107869</v>
      </c>
      <c r="H1166" s="13" t="n">
        <v>0</v>
      </c>
      <c r="I1166" s="17" t="n">
        <f aca="false">IF(H1166=1,D1166,G1166)</f>
        <v>27.8689213107869</v>
      </c>
    </row>
    <row r="1167" customFormat="false" ht="15" hidden="false" customHeight="false" outlineLevel="0" collapsed="false">
      <c r="A1167" s="13" t="s">
        <v>245</v>
      </c>
      <c r="B1167" s="13" t="s">
        <v>178</v>
      </c>
      <c r="C1167" s="13" t="s">
        <v>181</v>
      </c>
      <c r="D1167" s="15" t="n">
        <v>0.04992</v>
      </c>
      <c r="E1167" s="13" t="n">
        <v>1.00001</v>
      </c>
      <c r="F1167" s="16" t="n">
        <f aca="false">IF(H1167=1,"",D1167/E1167)</f>
        <v>0.049919500804992</v>
      </c>
      <c r="G1167" s="17" t="n">
        <f aca="false">IF(H1167=1,"",D1167/E1167*Notas!$B$3)</f>
        <v>4.74235257647424</v>
      </c>
      <c r="H1167" s="13" t="n">
        <v>0</v>
      </c>
      <c r="I1167" s="17" t="n">
        <f aca="false">IF(H1167=1,D1167,G1167)</f>
        <v>4.74235257647424</v>
      </c>
    </row>
    <row r="1168" customFormat="false" ht="15" hidden="false" customHeight="false" outlineLevel="0" collapsed="false">
      <c r="A1168" s="13" t="s">
        <v>245</v>
      </c>
      <c r="B1168" s="13" t="s">
        <v>178</v>
      </c>
      <c r="C1168" s="13" t="s">
        <v>73</v>
      </c>
      <c r="D1168" s="15" t="n">
        <v>0.03457</v>
      </c>
      <c r="E1168" s="13" t="n">
        <v>1.00001</v>
      </c>
      <c r="F1168" s="16" t="n">
        <f aca="false">IF(H1168=1,"",D1168/E1168)</f>
        <v>0.034569654303457</v>
      </c>
      <c r="G1168" s="17" t="n">
        <f aca="false">IF(H1168=1,"",D1168/E1168*Notas!$B$3)</f>
        <v>3.28411715882841</v>
      </c>
      <c r="H1168" s="13" t="n">
        <v>0</v>
      </c>
      <c r="I1168" s="17" t="n">
        <f aca="false">IF(H1168=1,D1168,G1168)</f>
        <v>3.28411715882841</v>
      </c>
    </row>
    <row r="1169" customFormat="false" ht="15" hidden="false" customHeight="false" outlineLevel="0" collapsed="false">
      <c r="A1169" s="13" t="s">
        <v>245</v>
      </c>
      <c r="B1169" s="13" t="s">
        <v>69</v>
      </c>
      <c r="C1169" s="13" t="s">
        <v>70</v>
      </c>
      <c r="D1169" s="15" t="n">
        <v>0.25352</v>
      </c>
      <c r="E1169" s="13" t="n">
        <v>1.00001</v>
      </c>
      <c r="F1169" s="16" t="n">
        <f aca="false">IF(H1169=1,"",D1169/E1169)</f>
        <v>0.253517464825352</v>
      </c>
      <c r="G1169" s="17" t="n">
        <f aca="false">IF(H1169=1,"",D1169/E1169*Notas!$B$3)</f>
        <v>24.0841591584084</v>
      </c>
      <c r="H1169" s="13" t="n">
        <v>0</v>
      </c>
      <c r="I1169" s="17" t="n">
        <f aca="false">IF(H1169=1,D1169,G1169)</f>
        <v>24.0841591584084</v>
      </c>
    </row>
    <row r="1170" customFormat="false" ht="15" hidden="false" customHeight="false" outlineLevel="0" collapsed="false">
      <c r="A1170" s="13" t="s">
        <v>245</v>
      </c>
      <c r="B1170" s="13" t="s">
        <v>69</v>
      </c>
      <c r="C1170" s="13" t="s">
        <v>71</v>
      </c>
      <c r="D1170" s="15" t="n">
        <v>0.04505</v>
      </c>
      <c r="E1170" s="13" t="n">
        <v>1.00001</v>
      </c>
      <c r="F1170" s="16" t="n">
        <f aca="false">IF(H1170=1,"",D1170/E1170)</f>
        <v>0.045049549504505</v>
      </c>
      <c r="G1170" s="17" t="n">
        <f aca="false">IF(H1170=1,"",D1170/E1170*Notas!$B$3)</f>
        <v>4.27970720292797</v>
      </c>
      <c r="H1170" s="13" t="n">
        <v>0</v>
      </c>
      <c r="I1170" s="17" t="n">
        <f aca="false">IF(H1170=1,D1170,G1170)</f>
        <v>4.27970720292797</v>
      </c>
    </row>
    <row r="1171" customFormat="false" ht="15" hidden="false" customHeight="false" outlineLevel="0" collapsed="false">
      <c r="A1171" s="13" t="s">
        <v>245</v>
      </c>
      <c r="B1171" s="13" t="s">
        <v>69</v>
      </c>
      <c r="C1171" s="13" t="s">
        <v>72</v>
      </c>
      <c r="D1171" s="15" t="n">
        <v>0.20847</v>
      </c>
      <c r="E1171" s="13" t="n">
        <v>1.00001</v>
      </c>
      <c r="F1171" s="16" t="n">
        <f aca="false">IF(H1171=1,"",D1171/E1171)</f>
        <v>0.208467915320847</v>
      </c>
      <c r="G1171" s="17" t="n">
        <f aca="false">IF(H1171=1,"",D1171/E1171*Notas!$B$3)</f>
        <v>19.8044519554804</v>
      </c>
      <c r="H1171" s="13" t="n">
        <v>0</v>
      </c>
      <c r="I1171" s="17" t="n">
        <f aca="false">IF(H1171=1,D1171,G1171)</f>
        <v>19.8044519554804</v>
      </c>
    </row>
    <row r="1172" customFormat="false" ht="15" hidden="false" customHeight="false" outlineLevel="0" collapsed="false">
      <c r="A1172" s="13" t="s">
        <v>245</v>
      </c>
      <c r="B1172" s="13" t="s">
        <v>69</v>
      </c>
      <c r="C1172" s="13" t="s">
        <v>73</v>
      </c>
      <c r="D1172" s="15" t="n">
        <v>0.25522</v>
      </c>
      <c r="E1172" s="13" t="n">
        <v>1.00001</v>
      </c>
      <c r="F1172" s="16" t="n">
        <f aca="false">IF(H1172=1,"",D1172/E1172)</f>
        <v>0.255217447825522</v>
      </c>
      <c r="G1172" s="17" t="n">
        <f aca="false">IF(H1172=1,"",D1172/E1172*Notas!$B$3)</f>
        <v>24.2456575434246</v>
      </c>
      <c r="H1172" s="13" t="n">
        <v>0</v>
      </c>
      <c r="I1172" s="17" t="n">
        <f aca="false">IF(H1172=1,D1172,G1172)</f>
        <v>24.2456575434246</v>
      </c>
    </row>
    <row r="1173" customFormat="false" ht="15" hidden="false" customHeight="false" outlineLevel="0" collapsed="false">
      <c r="A1173" s="13" t="s">
        <v>245</v>
      </c>
      <c r="B1173" s="13" t="s">
        <v>69</v>
      </c>
      <c r="C1173" s="13" t="s">
        <v>74</v>
      </c>
      <c r="D1173" s="15" t="n">
        <v>0.13462</v>
      </c>
      <c r="E1173" s="13" t="n">
        <v>1.00001</v>
      </c>
      <c r="F1173" s="16" t="n">
        <f aca="false">IF(H1173=1,"",D1173/E1173)</f>
        <v>0.134618653813462</v>
      </c>
      <c r="G1173" s="17" t="n">
        <f aca="false">IF(H1173=1,"",D1173/E1173*Notas!$B$3)</f>
        <v>12.7887721122789</v>
      </c>
      <c r="H1173" s="13" t="n">
        <v>0</v>
      </c>
      <c r="I1173" s="17" t="n">
        <f aca="false">IF(H1173=1,D1173,G1173)</f>
        <v>12.7887721122789</v>
      </c>
    </row>
    <row r="1174" customFormat="false" ht="15" hidden="false" customHeight="false" outlineLevel="0" collapsed="false">
      <c r="A1174" s="13" t="s">
        <v>245</v>
      </c>
      <c r="B1174" s="13" t="s">
        <v>75</v>
      </c>
      <c r="C1174" s="13" t="s">
        <v>76</v>
      </c>
      <c r="D1174" s="15" t="n">
        <v>0.18505</v>
      </c>
      <c r="E1174" s="13" t="n">
        <v>1.00001</v>
      </c>
      <c r="F1174" s="16" t="n">
        <f aca="false">IF(H1174=1,"",D1174/E1174)</f>
        <v>0.185048149518505</v>
      </c>
      <c r="G1174" s="17" t="n">
        <f aca="false">IF(H1174=1,"",D1174/E1174*Notas!$B$3)</f>
        <v>17.579574204258</v>
      </c>
      <c r="H1174" s="13" t="n">
        <v>0</v>
      </c>
      <c r="I1174" s="17" t="n">
        <f aca="false">IF(H1174=1,D1174,G1174)</f>
        <v>17.579574204258</v>
      </c>
    </row>
    <row r="1175" customFormat="false" ht="15" hidden="false" customHeight="false" outlineLevel="0" collapsed="false">
      <c r="A1175" s="13" t="s">
        <v>245</v>
      </c>
      <c r="B1175" s="13" t="s">
        <v>75</v>
      </c>
      <c r="C1175" s="13" t="s">
        <v>77</v>
      </c>
      <c r="D1175" s="15" t="n">
        <v>0.18505</v>
      </c>
      <c r="E1175" s="13" t="n">
        <v>1.00001</v>
      </c>
      <c r="F1175" s="16" t="n">
        <f aca="false">IF(H1175=1,"",D1175/E1175)</f>
        <v>0.185048149518505</v>
      </c>
      <c r="G1175" s="17" t="n">
        <f aca="false">IF(H1175=1,"",D1175/E1175*Notas!$B$3)</f>
        <v>17.579574204258</v>
      </c>
      <c r="H1175" s="13" t="n">
        <v>0</v>
      </c>
      <c r="I1175" s="17" t="n">
        <f aca="false">IF(H1175=1,D1175,G1175)</f>
        <v>17.579574204258</v>
      </c>
    </row>
    <row r="1176" customFormat="false" ht="15" hidden="false" customHeight="false" outlineLevel="0" collapsed="false">
      <c r="A1176" s="13" t="s">
        <v>245</v>
      </c>
      <c r="B1176" s="13" t="s">
        <v>75</v>
      </c>
      <c r="C1176" s="13" t="s">
        <v>78</v>
      </c>
      <c r="D1176" s="15" t="n">
        <v>0.21495</v>
      </c>
      <c r="E1176" s="13" t="n">
        <v>1.00001</v>
      </c>
      <c r="F1176" s="16" t="n">
        <f aca="false">IF(H1176=1,"",D1176/E1176)</f>
        <v>0.214947850521495</v>
      </c>
      <c r="G1176" s="17" t="n">
        <f aca="false">IF(H1176=1,"",D1176/E1176*Notas!$B$3)</f>
        <v>20.420045799542</v>
      </c>
      <c r="H1176" s="13" t="n">
        <v>0</v>
      </c>
      <c r="I1176" s="17" t="n">
        <f aca="false">IF(H1176=1,D1176,G1176)</f>
        <v>20.420045799542</v>
      </c>
    </row>
    <row r="1177" customFormat="false" ht="15" hidden="false" customHeight="false" outlineLevel="0" collapsed="false">
      <c r="A1177" s="13" t="s">
        <v>245</v>
      </c>
      <c r="B1177" s="13" t="s">
        <v>35</v>
      </c>
      <c r="C1177" s="13" t="s">
        <v>79</v>
      </c>
      <c r="D1177" s="15" t="n">
        <v>18.50492</v>
      </c>
      <c r="E1177" s="13" t="n">
        <v>1.00001</v>
      </c>
      <c r="F1177" s="16" t="str">
        <f aca="false">IF(H1177=1,"",D1177/E1177)</f>
        <v/>
      </c>
      <c r="G1177" s="17" t="str">
        <f aca="false">IF(H1177=1,"",D1177/E1177*Notas!$B$3)</f>
        <v/>
      </c>
      <c r="H1177" s="13" t="n">
        <v>1</v>
      </c>
      <c r="I1177" s="17" t="n">
        <f aca="false">IF(H1177=1,D1177,G1177)</f>
        <v>18.50492</v>
      </c>
    </row>
    <row r="1178" customFormat="false" ht="15" hidden="false" customHeight="false" outlineLevel="0" collapsed="false">
      <c r="A1178" s="13" t="s">
        <v>245</v>
      </c>
      <c r="B1178" s="13" t="s">
        <v>35</v>
      </c>
      <c r="C1178" s="13" t="s">
        <v>80</v>
      </c>
      <c r="D1178" s="15" t="n">
        <v>21.49508</v>
      </c>
      <c r="E1178" s="13" t="n">
        <v>1.00001</v>
      </c>
      <c r="F1178" s="16" t="str">
        <f aca="false">IF(H1178=1,"",D1178/E1178)</f>
        <v/>
      </c>
      <c r="G1178" s="17" t="str">
        <f aca="false">IF(H1178=1,"",D1178/E1178*Notas!$B$3)</f>
        <v/>
      </c>
      <c r="H1178" s="13" t="n">
        <v>1</v>
      </c>
      <c r="I1178" s="17" t="n">
        <f aca="false">IF(H1178=1,D1178,G1178)</f>
        <v>21.49508</v>
      </c>
    </row>
    <row r="1179" customFormat="false" ht="15" hidden="false" customHeight="false" outlineLevel="0" collapsed="false">
      <c r="A1179" s="13" t="s">
        <v>245</v>
      </c>
      <c r="B1179" s="13" t="s">
        <v>75</v>
      </c>
      <c r="C1179" s="13" t="s">
        <v>81</v>
      </c>
      <c r="D1179" s="15" t="n">
        <v>0.10426</v>
      </c>
      <c r="E1179" s="13" t="n">
        <v>1.00001</v>
      </c>
      <c r="F1179" s="16" t="n">
        <f aca="false">IF(H1179=1,"",D1179/E1179)</f>
        <v>0.104258957410426</v>
      </c>
      <c r="G1179" s="17" t="n">
        <f aca="false">IF(H1179=1,"",D1179/E1179*Notas!$B$3)</f>
        <v>9.90460095399046</v>
      </c>
      <c r="H1179" s="13" t="n">
        <v>0</v>
      </c>
      <c r="I1179" s="17" t="n">
        <f aca="false">IF(H1179=1,D1179,G1179)</f>
        <v>9.90460095399046</v>
      </c>
    </row>
    <row r="1180" customFormat="false" ht="15" hidden="false" customHeight="false" outlineLevel="0" collapsed="false">
      <c r="A1180" s="13" t="s">
        <v>245</v>
      </c>
      <c r="B1180" s="13" t="s">
        <v>75</v>
      </c>
      <c r="C1180" s="13" t="s">
        <v>82</v>
      </c>
      <c r="D1180" s="15" t="n">
        <v>0.10769</v>
      </c>
      <c r="E1180" s="13" t="n">
        <v>1.00001</v>
      </c>
      <c r="F1180" s="16" t="n">
        <f aca="false">IF(H1180=1,"",D1180/E1180)</f>
        <v>0.107688923110769</v>
      </c>
      <c r="G1180" s="17" t="n">
        <f aca="false">IF(H1180=1,"",D1180/E1180*Notas!$B$3)</f>
        <v>10.230447695523</v>
      </c>
      <c r="H1180" s="13" t="n">
        <v>0</v>
      </c>
      <c r="I1180" s="17" t="n">
        <f aca="false">IF(H1180=1,D1180,G1180)</f>
        <v>10.230447695523</v>
      </c>
    </row>
    <row r="1181" customFormat="false" ht="15" hidden="false" customHeight="false" outlineLevel="0" collapsed="false">
      <c r="A1181" s="13" t="s">
        <v>245</v>
      </c>
      <c r="B1181" s="13" t="s">
        <v>75</v>
      </c>
      <c r="C1181" s="13" t="s">
        <v>83</v>
      </c>
      <c r="D1181" s="15" t="n">
        <v>0.34632</v>
      </c>
      <c r="E1181" s="13" t="n">
        <v>1.00001</v>
      </c>
      <c r="F1181" s="16" t="n">
        <f aca="false">IF(H1181=1,"",D1181/E1181)</f>
        <v>0.346316536834632</v>
      </c>
      <c r="G1181" s="17" t="n">
        <f aca="false">IF(H1181=1,"",D1181/E1181*Notas!$B$3)</f>
        <v>32.90007099929</v>
      </c>
      <c r="H1181" s="13" t="n">
        <v>0</v>
      </c>
      <c r="I1181" s="17" t="n">
        <f aca="false">IF(H1181=1,D1181,G1181)</f>
        <v>32.90007099929</v>
      </c>
    </row>
    <row r="1182" customFormat="false" ht="15" hidden="false" customHeight="false" outlineLevel="0" collapsed="false">
      <c r="A1182" s="13" t="s">
        <v>245</v>
      </c>
      <c r="B1182" s="13" t="s">
        <v>75</v>
      </c>
      <c r="C1182" s="13" t="s">
        <v>84</v>
      </c>
      <c r="D1182" s="15" t="n">
        <v>0.10786</v>
      </c>
      <c r="E1182" s="13" t="n">
        <v>1.00001</v>
      </c>
      <c r="F1182" s="16" t="n">
        <f aca="false">IF(H1182=1,"",D1182/E1182)</f>
        <v>0.107858921410786</v>
      </c>
      <c r="G1182" s="17" t="n">
        <f aca="false">IF(H1182=1,"",D1182/E1182*Notas!$B$3)</f>
        <v>10.2465975340247</v>
      </c>
      <c r="H1182" s="13" t="n">
        <v>0</v>
      </c>
      <c r="I1182" s="17" t="n">
        <f aca="false">IF(H1182=1,D1182,G1182)</f>
        <v>10.2465975340247</v>
      </c>
    </row>
    <row r="1183" customFormat="false" ht="15" hidden="false" customHeight="false" outlineLevel="0" collapsed="false">
      <c r="A1183" s="13" t="s">
        <v>245</v>
      </c>
      <c r="B1183" s="13" t="s">
        <v>75</v>
      </c>
      <c r="C1183" s="13" t="s">
        <v>85</v>
      </c>
      <c r="D1183" s="15" t="n">
        <v>0.10831</v>
      </c>
      <c r="E1183" s="13" t="n">
        <v>1.00001</v>
      </c>
      <c r="F1183" s="16" t="n">
        <f aca="false">IF(H1183=1,"",D1183/E1183)</f>
        <v>0.108308916910831</v>
      </c>
      <c r="G1183" s="17" t="n">
        <f aca="false">IF(H1183=1,"",D1183/E1183*Notas!$B$3)</f>
        <v>10.2893471065289</v>
      </c>
      <c r="H1183" s="13" t="n">
        <v>0</v>
      </c>
      <c r="I1183" s="17" t="n">
        <f aca="false">IF(H1183=1,D1183,G1183)</f>
        <v>10.2893471065289</v>
      </c>
    </row>
    <row r="1184" customFormat="false" ht="15" hidden="false" customHeight="false" outlineLevel="0" collapsed="false">
      <c r="A1184" s="13" t="s">
        <v>245</v>
      </c>
      <c r="B1184" s="13" t="s">
        <v>75</v>
      </c>
      <c r="C1184" s="13" t="s">
        <v>86</v>
      </c>
      <c r="D1184" s="15" t="n">
        <v>0.35583</v>
      </c>
      <c r="E1184" s="13" t="n">
        <v>1.00001</v>
      </c>
      <c r="F1184" s="16" t="n">
        <f aca="false">IF(H1184=1,"",D1184/E1184)</f>
        <v>0.355826441735583</v>
      </c>
      <c r="G1184" s="17" t="n">
        <f aca="false">IF(H1184=1,"",D1184/E1184*Notas!$B$3)</f>
        <v>33.8035119648803</v>
      </c>
      <c r="H1184" s="13" t="n">
        <v>0</v>
      </c>
      <c r="I1184" s="17" t="n">
        <f aca="false">IF(H1184=1,D1184,G1184)</f>
        <v>33.8035119648803</v>
      </c>
    </row>
    <row r="1185" customFormat="false" ht="15" hidden="false" customHeight="false" outlineLevel="0" collapsed="false">
      <c r="A1185" s="13" t="s">
        <v>245</v>
      </c>
      <c r="B1185" s="13" t="s">
        <v>75</v>
      </c>
      <c r="C1185" s="13" t="s">
        <v>87</v>
      </c>
      <c r="D1185" s="15" t="n">
        <v>0.0192</v>
      </c>
      <c r="E1185" s="13" t="n">
        <v>1.00001</v>
      </c>
      <c r="F1185" s="16" t="n">
        <f aca="false">IF(H1185=1,"",D1185/E1185)</f>
        <v>0.01919980800192</v>
      </c>
      <c r="G1185" s="17" t="n">
        <f aca="false">IF(H1185=1,"",D1185/E1185*Notas!$B$3)</f>
        <v>1.8239817601824</v>
      </c>
      <c r="H1185" s="13" t="n">
        <v>0</v>
      </c>
      <c r="I1185" s="17" t="n">
        <f aca="false">IF(H1185=1,D1185,G1185)</f>
        <v>1.8239817601824</v>
      </c>
    </row>
    <row r="1186" customFormat="false" ht="15" hidden="false" customHeight="false" outlineLevel="0" collapsed="false">
      <c r="A1186" s="13" t="s">
        <v>245</v>
      </c>
      <c r="B1186" s="13" t="s">
        <v>75</v>
      </c>
      <c r="C1186" s="13" t="s">
        <v>88</v>
      </c>
      <c r="D1186" s="15" t="n">
        <v>0.10557</v>
      </c>
      <c r="E1186" s="13" t="n">
        <v>1.00001</v>
      </c>
      <c r="F1186" s="16" t="n">
        <f aca="false">IF(H1186=1,"",D1186/E1186)</f>
        <v>0.105568944310557</v>
      </c>
      <c r="G1186" s="17" t="n">
        <f aca="false">IF(H1186=1,"",D1186/E1186*Notas!$B$3)</f>
        <v>10.0290497095029</v>
      </c>
      <c r="H1186" s="13" t="n">
        <v>0</v>
      </c>
      <c r="I1186" s="17" t="n">
        <f aca="false">IF(H1186=1,D1186,G1186)</f>
        <v>10.0290497095029</v>
      </c>
    </row>
    <row r="1187" customFormat="false" ht="15" hidden="false" customHeight="false" outlineLevel="0" collapsed="false">
      <c r="A1187" s="13" t="s">
        <v>245</v>
      </c>
      <c r="B1187" s="13" t="s">
        <v>75</v>
      </c>
      <c r="C1187" s="13" t="s">
        <v>89</v>
      </c>
      <c r="D1187" s="15" t="n">
        <v>0.10591</v>
      </c>
      <c r="E1187" s="13" t="n">
        <v>1.00001</v>
      </c>
      <c r="F1187" s="16" t="n">
        <f aca="false">IF(H1187=1,"",D1187/E1187)</f>
        <v>0.105908940910591</v>
      </c>
      <c r="G1187" s="17" t="n">
        <f aca="false">IF(H1187=1,"",D1187/E1187*Notas!$B$3)</f>
        <v>10.0613493865061</v>
      </c>
      <c r="H1187" s="13" t="n">
        <v>0</v>
      </c>
      <c r="I1187" s="17" t="n">
        <f aca="false">IF(H1187=1,D1187,G1187)</f>
        <v>10.0613493865061</v>
      </c>
    </row>
    <row r="1188" customFormat="false" ht="15" hidden="false" customHeight="false" outlineLevel="0" collapsed="false">
      <c r="A1188" s="13" t="s">
        <v>245</v>
      </c>
      <c r="B1188" s="13" t="s">
        <v>75</v>
      </c>
      <c r="C1188" s="13" t="s">
        <v>90</v>
      </c>
      <c r="D1188" s="15" t="n">
        <v>0.34121</v>
      </c>
      <c r="E1188" s="13" t="n">
        <v>1.00001</v>
      </c>
      <c r="F1188" s="16" t="n">
        <f aca="false">IF(H1188=1,"",D1188/E1188)</f>
        <v>0.341206587934121</v>
      </c>
      <c r="G1188" s="17" t="n">
        <f aca="false">IF(H1188=1,"",D1188/E1188*Notas!$B$3)</f>
        <v>32.4146258537415</v>
      </c>
      <c r="H1188" s="13" t="n">
        <v>0</v>
      </c>
      <c r="I1188" s="17" t="n">
        <f aca="false">IF(H1188=1,D1188,G1188)</f>
        <v>32.4146258537415</v>
      </c>
    </row>
    <row r="1189" customFormat="false" ht="15" hidden="false" customHeight="false" outlineLevel="0" collapsed="false">
      <c r="A1189" s="13" t="s">
        <v>245</v>
      </c>
      <c r="B1189" s="13" t="s">
        <v>75</v>
      </c>
      <c r="C1189" s="13" t="s">
        <v>91</v>
      </c>
      <c r="D1189" s="15" t="n">
        <v>0.10527</v>
      </c>
      <c r="E1189" s="13" t="n">
        <v>1.00001</v>
      </c>
      <c r="F1189" s="16" t="n">
        <f aca="false">IF(H1189=1,"",D1189/E1189)</f>
        <v>0.105268947310527</v>
      </c>
      <c r="G1189" s="17" t="n">
        <f aca="false">IF(H1189=1,"",D1189/E1189*Notas!$B$3)</f>
        <v>10.0005499945001</v>
      </c>
      <c r="H1189" s="13" t="n">
        <v>0</v>
      </c>
      <c r="I1189" s="17" t="n">
        <f aca="false">IF(H1189=1,D1189,G1189)</f>
        <v>10.0005499945001</v>
      </c>
    </row>
    <row r="1190" customFormat="false" ht="15" hidden="false" customHeight="false" outlineLevel="0" collapsed="false">
      <c r="A1190" s="13" t="s">
        <v>245</v>
      </c>
      <c r="B1190" s="13" t="s">
        <v>75</v>
      </c>
      <c r="C1190" s="13" t="s">
        <v>92</v>
      </c>
      <c r="D1190" s="15" t="n">
        <v>0.10432</v>
      </c>
      <c r="E1190" s="13" t="n">
        <v>1.00001</v>
      </c>
      <c r="F1190" s="16" t="n">
        <f aca="false">IF(H1190=1,"",D1190/E1190)</f>
        <v>0.104318956810432</v>
      </c>
      <c r="G1190" s="17" t="n">
        <f aca="false">IF(H1190=1,"",D1190/E1190*Notas!$B$3)</f>
        <v>9.91030089699103</v>
      </c>
      <c r="H1190" s="13" t="n">
        <v>0</v>
      </c>
      <c r="I1190" s="17" t="n">
        <f aca="false">IF(H1190=1,D1190,G1190)</f>
        <v>9.91030089699103</v>
      </c>
    </row>
    <row r="1191" customFormat="false" ht="15" hidden="false" customHeight="false" outlineLevel="0" collapsed="false">
      <c r="A1191" s="13" t="s">
        <v>245</v>
      </c>
      <c r="B1191" s="13" t="s">
        <v>75</v>
      </c>
      <c r="C1191" s="13" t="s">
        <v>93</v>
      </c>
      <c r="D1191" s="15" t="n">
        <v>0.34441</v>
      </c>
      <c r="E1191" s="13" t="n">
        <v>1.00001</v>
      </c>
      <c r="F1191" s="16" t="n">
        <f aca="false">IF(H1191=1,"",D1191/E1191)</f>
        <v>0.344406555934441</v>
      </c>
      <c r="G1191" s="17" t="n">
        <f aca="false">IF(H1191=1,"",D1191/E1191*Notas!$B$3)</f>
        <v>32.7186228137719</v>
      </c>
      <c r="H1191" s="13" t="n">
        <v>0</v>
      </c>
      <c r="I1191" s="17" t="n">
        <f aca="false">IF(H1191=1,D1191,G1191)</f>
        <v>32.7186228137719</v>
      </c>
    </row>
    <row r="1192" customFormat="false" ht="15" hidden="false" customHeight="false" outlineLevel="0" collapsed="false">
      <c r="A1192" s="13" t="s">
        <v>245</v>
      </c>
      <c r="B1192" s="13" t="s">
        <v>75</v>
      </c>
      <c r="C1192" s="13" t="s">
        <v>94</v>
      </c>
      <c r="D1192" s="15" t="n">
        <v>0.02745</v>
      </c>
      <c r="E1192" s="13" t="n">
        <v>1.00001</v>
      </c>
      <c r="F1192" s="16" t="n">
        <f aca="false">IF(H1192=1,"",D1192/E1192)</f>
        <v>0.027449725502745</v>
      </c>
      <c r="G1192" s="17" t="n">
        <f aca="false">IF(H1192=1,"",D1192/E1192*Notas!$B$3)</f>
        <v>2.60772392276077</v>
      </c>
      <c r="H1192" s="13" t="n">
        <v>0</v>
      </c>
      <c r="I1192" s="17" t="n">
        <f aca="false">IF(H1192=1,D1192,G1192)</f>
        <v>2.60772392276077</v>
      </c>
    </row>
    <row r="1193" customFormat="false" ht="15" hidden="false" customHeight="false" outlineLevel="0" collapsed="false">
      <c r="A1193" s="13" t="s">
        <v>245</v>
      </c>
      <c r="B1193" s="13" t="s">
        <v>75</v>
      </c>
      <c r="C1193" s="13" t="s">
        <v>95</v>
      </c>
      <c r="D1193" s="15" t="n">
        <v>0.11093</v>
      </c>
      <c r="E1193" s="13" t="n">
        <v>1.00001</v>
      </c>
      <c r="F1193" s="16" t="n">
        <f aca="false">IF(H1193=1,"",D1193/E1193)</f>
        <v>0.110928890711093</v>
      </c>
      <c r="G1193" s="17" t="n">
        <f aca="false">IF(H1193=1,"",D1193/E1193*Notas!$B$3)</f>
        <v>10.5382446175538</v>
      </c>
      <c r="H1193" s="13" t="n">
        <v>0</v>
      </c>
      <c r="I1193" s="17" t="n">
        <f aca="false">IF(H1193=1,D1193,G1193)</f>
        <v>10.5382446175538</v>
      </c>
    </row>
    <row r="1194" customFormat="false" ht="15" hidden="false" customHeight="false" outlineLevel="0" collapsed="false">
      <c r="A1194" s="13" t="s">
        <v>245</v>
      </c>
      <c r="B1194" s="13" t="s">
        <v>75</v>
      </c>
      <c r="C1194" s="13" t="s">
        <v>96</v>
      </c>
      <c r="D1194" s="15" t="n">
        <v>0.11483</v>
      </c>
      <c r="E1194" s="13" t="n">
        <v>1.00001</v>
      </c>
      <c r="F1194" s="16" t="n">
        <f aca="false">IF(H1194=1,"",D1194/E1194)</f>
        <v>0.114828851711483</v>
      </c>
      <c r="G1194" s="17" t="n">
        <f aca="false">IF(H1194=1,"",D1194/E1194*Notas!$B$3)</f>
        <v>10.9087409125909</v>
      </c>
      <c r="H1194" s="13" t="n">
        <v>0</v>
      </c>
      <c r="I1194" s="17" t="n">
        <f aca="false">IF(H1194=1,D1194,G1194)</f>
        <v>10.9087409125909</v>
      </c>
    </row>
    <row r="1195" customFormat="false" ht="15" hidden="false" customHeight="false" outlineLevel="0" collapsed="false">
      <c r="A1195" s="13" t="s">
        <v>245</v>
      </c>
      <c r="B1195" s="13" t="s">
        <v>75</v>
      </c>
      <c r="C1195" s="13" t="s">
        <v>97</v>
      </c>
      <c r="D1195" s="15" t="n">
        <v>0.37419</v>
      </c>
      <c r="E1195" s="13" t="n">
        <v>1.00001</v>
      </c>
      <c r="F1195" s="16" t="n">
        <f aca="false">IF(H1195=1,"",D1195/E1195)</f>
        <v>0.374186258137419</v>
      </c>
      <c r="G1195" s="17" t="n">
        <f aca="false">IF(H1195=1,"",D1195/E1195*Notas!$B$3)</f>
        <v>35.5476945230548</v>
      </c>
      <c r="H1195" s="13" t="n">
        <v>0</v>
      </c>
      <c r="I1195" s="17" t="n">
        <f aca="false">IF(H1195=1,D1195,G1195)</f>
        <v>35.5476945230548</v>
      </c>
    </row>
    <row r="1196" customFormat="false" ht="15" hidden="false" customHeight="false" outlineLevel="0" collapsed="false">
      <c r="A1196" s="13" t="s">
        <v>245</v>
      </c>
      <c r="B1196" s="13" t="s">
        <v>75</v>
      </c>
      <c r="C1196" s="13" t="s">
        <v>98</v>
      </c>
      <c r="D1196" s="15" t="n">
        <v>0.10752</v>
      </c>
      <c r="E1196" s="13" t="n">
        <v>1.00001</v>
      </c>
      <c r="F1196" s="16" t="n">
        <f aca="false">IF(H1196=1,"",D1196/E1196)</f>
        <v>0.107518924810752</v>
      </c>
      <c r="G1196" s="17" t="n">
        <f aca="false">IF(H1196=1,"",D1196/E1196*Notas!$B$3)</f>
        <v>10.2142978570214</v>
      </c>
      <c r="H1196" s="13" t="n">
        <v>0</v>
      </c>
      <c r="I1196" s="17" t="n">
        <f aca="false">IF(H1196=1,D1196,G1196)</f>
        <v>10.2142978570214</v>
      </c>
    </row>
    <row r="1197" customFormat="false" ht="15" hidden="false" customHeight="false" outlineLevel="0" collapsed="false">
      <c r="A1197" s="13" t="s">
        <v>245</v>
      </c>
      <c r="B1197" s="13" t="s">
        <v>75</v>
      </c>
      <c r="C1197" s="13" t="s">
        <v>99</v>
      </c>
      <c r="D1197" s="15" t="n">
        <v>0.11892</v>
      </c>
      <c r="E1197" s="13" t="n">
        <v>1.00001</v>
      </c>
      <c r="F1197" s="16" t="n">
        <f aca="false">IF(H1197=1,"",D1197/E1197)</f>
        <v>0.118918810811892</v>
      </c>
      <c r="G1197" s="17" t="n">
        <f aca="false">IF(H1197=1,"",D1197/E1197*Notas!$B$3)</f>
        <v>11.2972870271297</v>
      </c>
      <c r="H1197" s="13" t="n">
        <v>0</v>
      </c>
      <c r="I1197" s="17" t="n">
        <f aca="false">IF(H1197=1,D1197,G1197)</f>
        <v>11.2972870271297</v>
      </c>
    </row>
    <row r="1198" customFormat="false" ht="15" hidden="false" customHeight="false" outlineLevel="0" collapsed="false">
      <c r="A1198" s="13" t="s">
        <v>245</v>
      </c>
      <c r="B1198" s="13" t="s">
        <v>75</v>
      </c>
      <c r="C1198" s="13" t="s">
        <v>100</v>
      </c>
      <c r="D1198" s="15" t="n">
        <v>0.38429</v>
      </c>
      <c r="E1198" s="13" t="n">
        <v>1.00001</v>
      </c>
      <c r="F1198" s="16" t="n">
        <f aca="false">IF(H1198=1,"",D1198/E1198)</f>
        <v>0.384286157138429</v>
      </c>
      <c r="G1198" s="17" t="n">
        <f aca="false">IF(H1198=1,"",D1198/E1198*Notas!$B$3)</f>
        <v>36.5071849281507</v>
      </c>
      <c r="H1198" s="13" t="n">
        <v>0</v>
      </c>
      <c r="I1198" s="17" t="n">
        <f aca="false">IF(H1198=1,D1198,G1198)</f>
        <v>36.5071849281507</v>
      </c>
    </row>
    <row r="1199" customFormat="false" ht="15" hidden="false" customHeight="false" outlineLevel="0" collapsed="false">
      <c r="A1199" s="13" t="s">
        <v>245</v>
      </c>
      <c r="B1199" s="13" t="s">
        <v>75</v>
      </c>
      <c r="C1199" s="13" t="s">
        <v>101</v>
      </c>
      <c r="D1199" s="15" t="n">
        <v>0.03585</v>
      </c>
      <c r="E1199" s="13" t="n">
        <v>1.00001</v>
      </c>
      <c r="F1199" s="16" t="n">
        <f aca="false">IF(H1199=1,"",D1199/E1199)</f>
        <v>0.035849641503585</v>
      </c>
      <c r="G1199" s="17" t="n">
        <f aca="false">IF(H1199=1,"",D1199/E1199*Notas!$B$3)</f>
        <v>3.40571594284057</v>
      </c>
      <c r="H1199" s="13" t="n">
        <v>0</v>
      </c>
      <c r="I1199" s="17" t="n">
        <f aca="false">IF(H1199=1,D1199,G1199)</f>
        <v>3.40571594284057</v>
      </c>
    </row>
    <row r="1200" customFormat="false" ht="15" hidden="false" customHeight="false" outlineLevel="0" collapsed="false">
      <c r="A1200" s="13" t="s">
        <v>245</v>
      </c>
      <c r="B1200" s="13" t="s">
        <v>102</v>
      </c>
      <c r="C1200" s="13" t="s">
        <v>103</v>
      </c>
      <c r="D1200" s="15" t="n">
        <v>0.16038</v>
      </c>
      <c r="E1200" s="13" t="n">
        <v>1.00001</v>
      </c>
      <c r="F1200" s="16" t="n">
        <f aca="false">IF(H1200=1,"",D1200/E1200)</f>
        <v>0.160378396216038</v>
      </c>
      <c r="G1200" s="17" t="n">
        <f aca="false">IF(H1200=1,"",D1200/E1200*Notas!$B$3)</f>
        <v>15.2359476405236</v>
      </c>
      <c r="H1200" s="13" t="n">
        <v>0</v>
      </c>
      <c r="I1200" s="17" t="n">
        <f aca="false">IF(H1200=1,D1200,G1200)</f>
        <v>15.2359476405236</v>
      </c>
    </row>
    <row r="1201" customFormat="false" ht="15" hidden="false" customHeight="false" outlineLevel="0" collapsed="false">
      <c r="A1201" s="13" t="s">
        <v>245</v>
      </c>
      <c r="B1201" s="13" t="s">
        <v>102</v>
      </c>
      <c r="C1201" s="13" t="s">
        <v>104</v>
      </c>
      <c r="D1201" s="15" t="n">
        <v>0.10047</v>
      </c>
      <c r="E1201" s="13" t="n">
        <v>1.00001</v>
      </c>
      <c r="F1201" s="16" t="n">
        <f aca="false">IF(H1201=1,"",D1201/E1201)</f>
        <v>0.100468995310047</v>
      </c>
      <c r="G1201" s="17" t="n">
        <f aca="false">IF(H1201=1,"",D1201/E1201*Notas!$B$3)</f>
        <v>9.54455455445446</v>
      </c>
      <c r="H1201" s="13" t="n">
        <v>0</v>
      </c>
      <c r="I1201" s="17" t="n">
        <f aca="false">IF(H1201=1,D1201,G1201)</f>
        <v>9.54455455445446</v>
      </c>
    </row>
    <row r="1202" customFormat="false" ht="15" hidden="false" customHeight="false" outlineLevel="0" collapsed="false">
      <c r="A1202" s="13" t="s">
        <v>245</v>
      </c>
      <c r="B1202" s="13" t="s">
        <v>102</v>
      </c>
      <c r="C1202" s="13" t="s">
        <v>105</v>
      </c>
      <c r="D1202" s="15" t="n">
        <v>0.0624</v>
      </c>
      <c r="E1202" s="13" t="n">
        <v>1.00001</v>
      </c>
      <c r="F1202" s="16" t="n">
        <f aca="false">IF(H1202=1,"",D1202/E1202)</f>
        <v>0.0623993760062399</v>
      </c>
      <c r="G1202" s="17" t="n">
        <f aca="false">IF(H1202=1,"",D1202/E1202*Notas!$B$3)</f>
        <v>5.92794072059279</v>
      </c>
      <c r="H1202" s="13" t="n">
        <v>0</v>
      </c>
      <c r="I1202" s="17" t="n">
        <f aca="false">IF(H1202=1,D1202,G1202)</f>
        <v>5.92794072059279</v>
      </c>
    </row>
    <row r="1203" customFormat="false" ht="15" hidden="false" customHeight="false" outlineLevel="0" collapsed="false">
      <c r="A1203" s="13" t="s">
        <v>245</v>
      </c>
      <c r="B1203" s="13" t="s">
        <v>102</v>
      </c>
      <c r="C1203" s="13" t="s">
        <v>106</v>
      </c>
      <c r="D1203" s="15" t="n">
        <v>-0.07136</v>
      </c>
      <c r="E1203" s="13" t="n">
        <v>1.00001</v>
      </c>
      <c r="F1203" s="16" t="n">
        <f aca="false">IF(H1203=1,"",D1203/E1203)</f>
        <v>-0.0713592864071359</v>
      </c>
      <c r="G1203" s="17" t="n">
        <f aca="false">IF(H1203=1,"",D1203/E1203*Notas!$B$3)</f>
        <v>-6.77913220867791</v>
      </c>
      <c r="H1203" s="13" t="n">
        <v>0</v>
      </c>
      <c r="I1203" s="17" t="n">
        <f aca="false">IF(H1203=1,D1203,G1203)</f>
        <v>-6.77913220867791</v>
      </c>
    </row>
    <row r="1204" customFormat="false" ht="15" hidden="false" customHeight="false" outlineLevel="0" collapsed="false">
      <c r="A1204" s="13" t="s">
        <v>245</v>
      </c>
      <c r="B1204" s="13" t="s">
        <v>102</v>
      </c>
      <c r="C1204" s="13" t="s">
        <v>107</v>
      </c>
      <c r="D1204" s="15" t="n">
        <v>0.16169</v>
      </c>
      <c r="E1204" s="13" t="n">
        <v>1.00001</v>
      </c>
      <c r="F1204" s="16" t="n">
        <f aca="false">IF(H1204=1,"",D1204/E1204)</f>
        <v>0.161688383116169</v>
      </c>
      <c r="G1204" s="17" t="n">
        <f aca="false">IF(H1204=1,"",D1204/E1204*Notas!$B$3)</f>
        <v>15.360396396036</v>
      </c>
      <c r="H1204" s="13" t="n">
        <v>0</v>
      </c>
      <c r="I1204" s="17" t="n">
        <f aca="false">IF(H1204=1,D1204,G1204)</f>
        <v>15.360396396036</v>
      </c>
    </row>
    <row r="1205" customFormat="false" ht="15" hidden="false" customHeight="false" outlineLevel="0" collapsed="false">
      <c r="A1205" s="13" t="s">
        <v>245</v>
      </c>
      <c r="B1205" s="13" t="s">
        <v>102</v>
      </c>
      <c r="C1205" s="13" t="s">
        <v>108</v>
      </c>
      <c r="D1205" s="15" t="n">
        <v>0.10729</v>
      </c>
      <c r="E1205" s="13" t="n">
        <v>1.00001</v>
      </c>
      <c r="F1205" s="16" t="n">
        <f aca="false">IF(H1205=1,"",D1205/E1205)</f>
        <v>0.107288927110729</v>
      </c>
      <c r="G1205" s="17" t="n">
        <f aca="false">IF(H1205=1,"",D1205/E1205*Notas!$B$3)</f>
        <v>10.1924480755192</v>
      </c>
      <c r="H1205" s="13" t="n">
        <v>0</v>
      </c>
      <c r="I1205" s="17" t="n">
        <f aca="false">IF(H1205=1,D1205,G1205)</f>
        <v>10.1924480755192</v>
      </c>
    </row>
    <row r="1206" customFormat="false" ht="15" hidden="false" customHeight="false" outlineLevel="0" collapsed="false">
      <c r="A1206" s="13" t="s">
        <v>245</v>
      </c>
      <c r="B1206" s="13" t="s">
        <v>102</v>
      </c>
      <c r="C1206" s="13" t="s">
        <v>109</v>
      </c>
      <c r="D1206" s="15" t="n">
        <v>0.06363</v>
      </c>
      <c r="E1206" s="13" t="n">
        <v>1.00001</v>
      </c>
      <c r="F1206" s="16" t="n">
        <f aca="false">IF(H1206=1,"",D1206/E1206)</f>
        <v>0.0636293637063629</v>
      </c>
      <c r="G1206" s="17" t="n">
        <f aca="false">IF(H1206=1,"",D1206/E1206*Notas!$B$3)</f>
        <v>6.04478955210448</v>
      </c>
      <c r="H1206" s="13" t="n">
        <v>0</v>
      </c>
      <c r="I1206" s="17" t="n">
        <f aca="false">IF(H1206=1,D1206,G1206)</f>
        <v>6.04478955210448</v>
      </c>
    </row>
    <row r="1207" customFormat="false" ht="15" hidden="false" customHeight="false" outlineLevel="0" collapsed="false">
      <c r="A1207" s="13" t="s">
        <v>245</v>
      </c>
      <c r="B1207" s="13" t="s">
        <v>102</v>
      </c>
      <c r="C1207" s="13" t="s">
        <v>110</v>
      </c>
      <c r="D1207" s="15" t="n">
        <v>0.07781</v>
      </c>
      <c r="E1207" s="13" t="n">
        <v>1.00001</v>
      </c>
      <c r="F1207" s="16" t="n">
        <f aca="false">IF(H1207=1,"",D1207/E1207)</f>
        <v>0.0778092219077809</v>
      </c>
      <c r="G1207" s="17" t="n">
        <f aca="false">IF(H1207=1,"",D1207/E1207*Notas!$B$3)</f>
        <v>7.39187608123919</v>
      </c>
      <c r="H1207" s="13" t="n">
        <v>0</v>
      </c>
      <c r="I1207" s="17" t="n">
        <f aca="false">IF(H1207=1,D1207,G1207)</f>
        <v>7.39187608123919</v>
      </c>
    </row>
    <row r="1208" customFormat="false" ht="15" hidden="false" customHeight="false" outlineLevel="0" collapsed="false">
      <c r="A1208" s="13" t="s">
        <v>245</v>
      </c>
      <c r="B1208" s="13" t="s">
        <v>102</v>
      </c>
      <c r="C1208" s="13" t="s">
        <v>111</v>
      </c>
      <c r="D1208" s="15" t="n">
        <v>0.25305</v>
      </c>
      <c r="E1208" s="13" t="n">
        <v>1.00001</v>
      </c>
      <c r="F1208" s="16" t="n">
        <f aca="false">IF(H1208=1,"",D1208/E1208)</f>
        <v>0.253047469525305</v>
      </c>
      <c r="G1208" s="17" t="n">
        <f aca="false">IF(H1208=1,"",D1208/E1208*Notas!$B$3)</f>
        <v>24.0395096049039</v>
      </c>
      <c r="H1208" s="13" t="n">
        <v>0</v>
      </c>
      <c r="I1208" s="17" t="n">
        <f aca="false">IF(H1208=1,D1208,G1208)</f>
        <v>24.0395096049039</v>
      </c>
    </row>
    <row r="1209" customFormat="false" ht="15" hidden="false" customHeight="false" outlineLevel="0" collapsed="false">
      <c r="A1209" s="13" t="s">
        <v>245</v>
      </c>
      <c r="B1209" s="13" t="s">
        <v>102</v>
      </c>
      <c r="C1209" s="13" t="s">
        <v>112</v>
      </c>
      <c r="D1209" s="15" t="n">
        <v>0.06387</v>
      </c>
      <c r="E1209" s="13" t="n">
        <v>1.00001</v>
      </c>
      <c r="F1209" s="16" t="n">
        <f aca="false">IF(H1209=1,"",D1209/E1209)</f>
        <v>0.0638693613063869</v>
      </c>
      <c r="G1209" s="17" t="n">
        <f aca="false">IF(H1209=1,"",D1209/E1209*Notas!$B$3)</f>
        <v>6.06758932410676</v>
      </c>
      <c r="H1209" s="13" t="n">
        <v>0</v>
      </c>
      <c r="I1209" s="17" t="n">
        <f aca="false">IF(H1209=1,D1209,G1209)</f>
        <v>6.06758932410676</v>
      </c>
    </row>
    <row r="1210" customFormat="false" ht="15" hidden="false" customHeight="false" outlineLevel="0" collapsed="false">
      <c r="A1210" s="13" t="s">
        <v>245</v>
      </c>
      <c r="B1210" s="13" t="s">
        <v>17</v>
      </c>
      <c r="C1210" s="13" t="s">
        <v>113</v>
      </c>
      <c r="D1210" s="15" t="n">
        <v>1</v>
      </c>
      <c r="E1210" s="13" t="n">
        <v>1.00001</v>
      </c>
      <c r="F1210" s="16" t="str">
        <f aca="false">IF(H1210=1,"",D1210/E1210)</f>
        <v/>
      </c>
      <c r="G1210" s="17" t="str">
        <f aca="false">IF(H1210=1,"",D1210/E1210*Notas!$B$3)</f>
        <v/>
      </c>
      <c r="H1210" s="13" t="n">
        <v>1</v>
      </c>
      <c r="I1210" s="17" t="n">
        <f aca="false">IF(H1210=1,D1210,G1210)</f>
        <v>1</v>
      </c>
    </row>
    <row r="1211" customFormat="false" ht="15" hidden="false" customHeight="false" outlineLevel="0" collapsed="false">
      <c r="A1211" s="13" t="s">
        <v>245</v>
      </c>
      <c r="B1211" s="13" t="s">
        <v>114</v>
      </c>
      <c r="C1211" s="13" t="s">
        <v>115</v>
      </c>
      <c r="D1211" s="15" t="n">
        <v>0.35701</v>
      </c>
      <c r="E1211" s="13" t="n">
        <v>1.00001</v>
      </c>
      <c r="F1211" s="16" t="n">
        <f aca="false">IF(H1211=1,"",D1211/E1211)</f>
        <v>0.357006429935701</v>
      </c>
      <c r="G1211" s="17" t="n">
        <f aca="false">IF(H1211=1,"",D1211/E1211*Notas!$B$3)</f>
        <v>33.9156108438916</v>
      </c>
      <c r="H1211" s="13" t="n">
        <v>0</v>
      </c>
      <c r="I1211" s="17" t="n">
        <f aca="false">IF(H1211=1,D1211,G1211)</f>
        <v>33.9156108438916</v>
      </c>
    </row>
    <row r="1212" customFormat="false" ht="15" hidden="false" customHeight="false" outlineLevel="0" collapsed="false">
      <c r="A1212" s="13" t="s">
        <v>245</v>
      </c>
      <c r="B1212" s="13" t="s">
        <v>114</v>
      </c>
      <c r="C1212" s="13" t="s">
        <v>116</v>
      </c>
      <c r="D1212" s="15" t="n">
        <v>0.66678</v>
      </c>
      <c r="E1212" s="13" t="n">
        <v>1.00001</v>
      </c>
      <c r="F1212" s="16" t="n">
        <f aca="false">IF(H1212=1,"",D1212/E1212)</f>
        <v>0.666773332266677</v>
      </c>
      <c r="G1212" s="17" t="n">
        <f aca="false">IF(H1212=1,"",D1212/E1212*Notas!$B$3)</f>
        <v>63.3434665653343</v>
      </c>
      <c r="H1212" s="13" t="n">
        <v>0</v>
      </c>
      <c r="I1212" s="17" t="n">
        <f aca="false">IF(H1212=1,D1212,G1212)</f>
        <v>63.3434665653343</v>
      </c>
    </row>
    <row r="1213" customFormat="false" ht="15" hidden="false" customHeight="false" outlineLevel="0" collapsed="false">
      <c r="A1213" s="13" t="s">
        <v>245</v>
      </c>
      <c r="B1213" s="13" t="s">
        <v>114</v>
      </c>
      <c r="C1213" s="13" t="s">
        <v>117</v>
      </c>
      <c r="D1213" s="15" t="n">
        <v>0.13672</v>
      </c>
      <c r="E1213" s="13" t="n">
        <v>1.00001</v>
      </c>
      <c r="F1213" s="16" t="n">
        <f aca="false">IF(H1213=1,"",D1213/E1213)</f>
        <v>0.136718632813672</v>
      </c>
      <c r="G1213" s="17" t="n">
        <f aca="false">IF(H1213=1,"",D1213/E1213*Notas!$B$3)</f>
        <v>12.9882701172988</v>
      </c>
      <c r="H1213" s="13" t="n">
        <v>0</v>
      </c>
      <c r="I1213" s="17" t="n">
        <f aca="false">IF(H1213=1,D1213,G1213)</f>
        <v>12.9882701172988</v>
      </c>
    </row>
    <row r="1214" customFormat="false" ht="15" hidden="false" customHeight="false" outlineLevel="0" collapsed="false">
      <c r="A1214" s="13" t="s">
        <v>245</v>
      </c>
      <c r="B1214" s="13" t="s">
        <v>114</v>
      </c>
      <c r="C1214" s="13" t="s">
        <v>118</v>
      </c>
      <c r="D1214" s="15" t="n">
        <v>1.62172</v>
      </c>
      <c r="E1214" s="13" t="n">
        <v>1.00001</v>
      </c>
      <c r="F1214" s="16" t="n">
        <f aca="false">IF(H1214=1,"",D1214/E1214)</f>
        <v>1.62170378296217</v>
      </c>
      <c r="G1214" s="17" t="n">
        <f aca="false">IF(H1214=1,"",D1214/E1214*Notas!$B$3)</f>
        <v>154.061859381406</v>
      </c>
      <c r="H1214" s="13" t="n">
        <v>0</v>
      </c>
      <c r="I1214" s="17" t="n">
        <f aca="false">IF(H1214=1,D1214,G1214)</f>
        <v>154.061859381406</v>
      </c>
    </row>
    <row r="1215" customFormat="false" ht="15" hidden="false" customHeight="false" outlineLevel="0" collapsed="false">
      <c r="A1215" s="13" t="s">
        <v>245</v>
      </c>
      <c r="B1215" s="13" t="s">
        <v>114</v>
      </c>
      <c r="C1215" s="13" t="s">
        <v>119</v>
      </c>
      <c r="D1215" s="15" t="n">
        <v>0.66678</v>
      </c>
      <c r="E1215" s="13" t="n">
        <v>1.00001</v>
      </c>
      <c r="F1215" s="16" t="n">
        <f aca="false">IF(H1215=1,"",D1215/E1215)</f>
        <v>0.666773332266677</v>
      </c>
      <c r="G1215" s="17" t="n">
        <f aca="false">IF(H1215=1,"",D1215/E1215*Notas!$B$3)</f>
        <v>63.3434665653343</v>
      </c>
      <c r="H1215" s="13" t="n">
        <v>0</v>
      </c>
      <c r="I1215" s="17" t="n">
        <f aca="false">IF(H1215=1,D1215,G1215)</f>
        <v>63.3434665653343</v>
      </c>
    </row>
    <row r="1216" customFormat="false" ht="15" hidden="false" customHeight="false" outlineLevel="0" collapsed="false">
      <c r="A1216" s="13" t="s">
        <v>245</v>
      </c>
      <c r="B1216" s="13" t="s">
        <v>114</v>
      </c>
      <c r="C1216" s="13" t="s">
        <v>120</v>
      </c>
      <c r="D1216" s="15" t="n">
        <v>1</v>
      </c>
      <c r="E1216" s="13" t="n">
        <v>1.00001</v>
      </c>
      <c r="F1216" s="16" t="str">
        <f aca="false">IF(H1216=1,"",D1216/E1216)</f>
        <v/>
      </c>
      <c r="G1216" s="17" t="str">
        <f aca="false">IF(H1216=1,"",D1216/E1216*Notas!$B$3)</f>
        <v/>
      </c>
      <c r="H1216" s="13" t="n">
        <v>1</v>
      </c>
      <c r="I1216" s="17" t="n">
        <f aca="false">IF(H1216=1,D1216,G1216)</f>
        <v>1</v>
      </c>
    </row>
    <row r="1217" customFormat="false" ht="15" hidden="false" customHeight="false" outlineLevel="0" collapsed="false">
      <c r="A1217" s="13" t="s">
        <v>245</v>
      </c>
      <c r="B1217" s="13" t="s">
        <v>114</v>
      </c>
      <c r="C1217" s="13" t="s">
        <v>121</v>
      </c>
      <c r="D1217" s="15" t="n">
        <v>0.21</v>
      </c>
      <c r="E1217" s="13" t="n">
        <v>1.00001</v>
      </c>
      <c r="F1217" s="16" t="n">
        <f aca="false">IF(H1217=1,"",D1217/E1217)</f>
        <v>0.209997900021</v>
      </c>
      <c r="G1217" s="17" t="n">
        <f aca="false">IF(H1217=1,"",D1217/E1217*Notas!$B$3)</f>
        <v>19.949800501995</v>
      </c>
      <c r="H1217" s="13" t="n">
        <v>0</v>
      </c>
      <c r="I1217" s="17" t="n">
        <f aca="false">IF(H1217=1,D1217,G1217)</f>
        <v>19.949800501995</v>
      </c>
    </row>
    <row r="1218" customFormat="false" ht="15" hidden="false" customHeight="false" outlineLevel="0" collapsed="false">
      <c r="A1218" s="13" t="s">
        <v>245</v>
      </c>
      <c r="B1218" s="13" t="s">
        <v>114</v>
      </c>
      <c r="C1218" s="13" t="s">
        <v>122</v>
      </c>
      <c r="D1218" s="15" t="n">
        <v>0.24248</v>
      </c>
      <c r="E1218" s="13" t="n">
        <v>1.00001</v>
      </c>
      <c r="F1218" s="16" t="n">
        <f aca="false">IF(H1218=1,"",D1218/E1218)</f>
        <v>0.242477575224248</v>
      </c>
      <c r="G1218" s="17" t="n">
        <f aca="false">IF(H1218=1,"",D1218/E1218*Notas!$B$3)</f>
        <v>23.0353696463035</v>
      </c>
      <c r="H1218" s="13" t="n">
        <v>0</v>
      </c>
      <c r="I1218" s="17" t="n">
        <f aca="false">IF(H1218=1,D1218,G1218)</f>
        <v>23.0353696463035</v>
      </c>
    </row>
    <row r="1219" customFormat="false" ht="15" hidden="false" customHeight="false" outlineLevel="0" collapsed="false">
      <c r="A1219" s="13" t="s">
        <v>245</v>
      </c>
      <c r="B1219" s="13" t="s">
        <v>114</v>
      </c>
      <c r="C1219" s="13" t="s">
        <v>123</v>
      </c>
      <c r="D1219" s="15" t="n">
        <v>0.12636</v>
      </c>
      <c r="E1219" s="13" t="n">
        <v>1.00001</v>
      </c>
      <c r="F1219" s="16" t="n">
        <f aca="false">IF(H1219=1,"",D1219/E1219)</f>
        <v>0.126358736412636</v>
      </c>
      <c r="G1219" s="17" t="n">
        <f aca="false">IF(H1219=1,"",D1219/E1219*Notas!$B$3)</f>
        <v>12.0040799592004</v>
      </c>
      <c r="H1219" s="13" t="n">
        <v>0</v>
      </c>
      <c r="I1219" s="17" t="n">
        <f aca="false">IF(H1219=1,D1219,G1219)</f>
        <v>12.0040799592004</v>
      </c>
    </row>
    <row r="1220" customFormat="false" ht="15" hidden="false" customHeight="false" outlineLevel="0" collapsed="false">
      <c r="A1220" s="13" t="s">
        <v>245</v>
      </c>
      <c r="B1220" s="13" t="s">
        <v>114</v>
      </c>
      <c r="C1220" s="13" t="s">
        <v>124</v>
      </c>
      <c r="D1220" s="15" t="n">
        <v>0.6331</v>
      </c>
      <c r="E1220" s="13" t="n">
        <v>1.00001</v>
      </c>
      <c r="F1220" s="16" t="n">
        <f aca="false">IF(H1220=1,"",D1220/E1220)</f>
        <v>0.633093669063309</v>
      </c>
      <c r="G1220" s="17" t="n">
        <f aca="false">IF(H1220=1,"",D1220/E1220*Notas!$B$3)</f>
        <v>60.1438985610144</v>
      </c>
      <c r="H1220" s="13" t="n">
        <v>0</v>
      </c>
      <c r="I1220" s="17" t="n">
        <f aca="false">IF(H1220=1,D1220,G1220)</f>
        <v>60.1438985610144</v>
      </c>
    </row>
    <row r="1221" customFormat="false" ht="15" hidden="false" customHeight="false" outlineLevel="0" collapsed="false">
      <c r="A1221" s="13" t="s">
        <v>245</v>
      </c>
      <c r="B1221" s="13" t="s">
        <v>114</v>
      </c>
      <c r="C1221" s="13" t="s">
        <v>125</v>
      </c>
      <c r="D1221" s="15" t="n">
        <v>0.24248</v>
      </c>
      <c r="E1221" s="13" t="n">
        <v>1.00001</v>
      </c>
      <c r="F1221" s="16" t="n">
        <f aca="false">IF(H1221=1,"",D1221/E1221)</f>
        <v>0.242477575224248</v>
      </c>
      <c r="G1221" s="17" t="n">
        <f aca="false">IF(H1221=1,"",D1221/E1221*Notas!$B$3)</f>
        <v>23.0353696463035</v>
      </c>
      <c r="H1221" s="13" t="n">
        <v>0</v>
      </c>
      <c r="I1221" s="17" t="n">
        <f aca="false">IF(H1221=1,D1221,G1221)</f>
        <v>23.0353696463035</v>
      </c>
    </row>
    <row r="1222" customFormat="false" ht="15" hidden="false" customHeight="false" outlineLevel="0" collapsed="false">
      <c r="A1222" s="13" t="s">
        <v>245</v>
      </c>
      <c r="B1222" s="13" t="s">
        <v>114</v>
      </c>
      <c r="C1222" s="13" t="s">
        <v>126</v>
      </c>
      <c r="D1222" s="15" t="n">
        <v>1</v>
      </c>
      <c r="E1222" s="13" t="n">
        <v>1.00001</v>
      </c>
      <c r="F1222" s="16" t="str">
        <f aca="false">IF(H1222=1,"",D1222/E1222)</f>
        <v/>
      </c>
      <c r="G1222" s="17" t="str">
        <f aca="false">IF(H1222=1,"",D1222/E1222*Notas!$B$3)</f>
        <v/>
      </c>
      <c r="H1222" s="13" t="n">
        <v>1</v>
      </c>
      <c r="I1222" s="17" t="n">
        <f aca="false">IF(H1222=1,D1222,G1222)</f>
        <v>1</v>
      </c>
    </row>
    <row r="1223" customFormat="false" ht="15" hidden="false" customHeight="false" outlineLevel="0" collapsed="false">
      <c r="A1223" s="13" t="s">
        <v>245</v>
      </c>
      <c r="B1223" s="13" t="s">
        <v>114</v>
      </c>
      <c r="C1223" s="13" t="s">
        <v>127</v>
      </c>
      <c r="D1223" s="15" t="n">
        <v>0.19753</v>
      </c>
      <c r="E1223" s="13" t="n">
        <v>1.00001</v>
      </c>
      <c r="F1223" s="16" t="n">
        <f aca="false">IF(H1223=1,"",D1223/E1223)</f>
        <v>0.197528024719753</v>
      </c>
      <c r="G1223" s="17" t="n">
        <f aca="false">IF(H1223=1,"",D1223/E1223*Notas!$B$3)</f>
        <v>18.7651623483765</v>
      </c>
      <c r="H1223" s="13" t="n">
        <v>0</v>
      </c>
      <c r="I1223" s="17" t="n">
        <f aca="false">IF(H1223=1,D1223,G1223)</f>
        <v>18.7651623483765</v>
      </c>
    </row>
    <row r="1224" customFormat="false" ht="15" hidden="false" customHeight="false" outlineLevel="0" collapsed="false">
      <c r="A1224" s="13" t="s">
        <v>245</v>
      </c>
      <c r="B1224" s="13" t="s">
        <v>114</v>
      </c>
      <c r="C1224" s="13" t="s">
        <v>128</v>
      </c>
      <c r="D1224" s="15" t="n">
        <v>0.22505</v>
      </c>
      <c r="E1224" s="13" t="n">
        <v>1.00001</v>
      </c>
      <c r="F1224" s="16" t="n">
        <f aca="false">IF(H1224=1,"",D1224/E1224)</f>
        <v>0.225047749522505</v>
      </c>
      <c r="G1224" s="17" t="n">
        <f aca="false">IF(H1224=1,"",D1224/E1224*Notas!$B$3)</f>
        <v>21.379536204638</v>
      </c>
      <c r="H1224" s="13" t="n">
        <v>0</v>
      </c>
      <c r="I1224" s="17" t="n">
        <f aca="false">IF(H1224=1,D1224,G1224)</f>
        <v>21.379536204638</v>
      </c>
    </row>
    <row r="1225" customFormat="false" ht="15" hidden="false" customHeight="false" outlineLevel="0" collapsed="false">
      <c r="A1225" s="13" t="s">
        <v>245</v>
      </c>
      <c r="B1225" s="13" t="s">
        <v>114</v>
      </c>
      <c r="C1225" s="13" t="s">
        <v>129</v>
      </c>
      <c r="D1225" s="15" t="n">
        <v>0.12343</v>
      </c>
      <c r="E1225" s="13" t="n">
        <v>1.00001</v>
      </c>
      <c r="F1225" s="16" t="n">
        <f aca="false">IF(H1225=1,"",D1225/E1225)</f>
        <v>0.123428765712343</v>
      </c>
      <c r="G1225" s="17" t="n">
        <f aca="false">IF(H1225=1,"",D1225/E1225*Notas!$B$3)</f>
        <v>11.7257327426726</v>
      </c>
      <c r="H1225" s="13" t="n">
        <v>0</v>
      </c>
      <c r="I1225" s="17" t="n">
        <f aca="false">IF(H1225=1,D1225,G1225)</f>
        <v>11.7257327426726</v>
      </c>
    </row>
    <row r="1226" customFormat="false" ht="15" hidden="false" customHeight="false" outlineLevel="0" collapsed="false">
      <c r="A1226" s="13" t="s">
        <v>245</v>
      </c>
      <c r="B1226" s="13" t="s">
        <v>114</v>
      </c>
      <c r="C1226" s="13" t="s">
        <v>130</v>
      </c>
      <c r="D1226" s="15" t="n">
        <v>0.62644</v>
      </c>
      <c r="E1226" s="13" t="n">
        <v>1.00001</v>
      </c>
      <c r="F1226" s="16" t="n">
        <f aca="false">IF(H1226=1,"",D1226/E1226)</f>
        <v>0.626433735662643</v>
      </c>
      <c r="G1226" s="17" t="n">
        <f aca="false">IF(H1226=1,"",D1226/E1226*Notas!$B$3)</f>
        <v>59.5112048879511</v>
      </c>
      <c r="H1226" s="13" t="n">
        <v>0</v>
      </c>
      <c r="I1226" s="17" t="n">
        <f aca="false">IF(H1226=1,D1226,G1226)</f>
        <v>59.5112048879511</v>
      </c>
    </row>
    <row r="1227" customFormat="false" ht="15" hidden="false" customHeight="false" outlineLevel="0" collapsed="false">
      <c r="A1227" s="13" t="s">
        <v>245</v>
      </c>
      <c r="B1227" s="13" t="s">
        <v>114</v>
      </c>
      <c r="C1227" s="13" t="s">
        <v>131</v>
      </c>
      <c r="D1227" s="15" t="n">
        <v>0.22505</v>
      </c>
      <c r="E1227" s="13" t="n">
        <v>1.00001</v>
      </c>
      <c r="F1227" s="16" t="n">
        <f aca="false">IF(H1227=1,"",D1227/E1227)</f>
        <v>0.225047749522505</v>
      </c>
      <c r="G1227" s="17" t="n">
        <f aca="false">IF(H1227=1,"",D1227/E1227*Notas!$B$3)</f>
        <v>21.379536204638</v>
      </c>
      <c r="H1227" s="13" t="n">
        <v>0</v>
      </c>
      <c r="I1227" s="17" t="n">
        <f aca="false">IF(H1227=1,D1227,G1227)</f>
        <v>21.379536204638</v>
      </c>
    </row>
    <row r="1228" customFormat="false" ht="15" hidden="false" customHeight="false" outlineLevel="0" collapsed="false">
      <c r="A1228" s="13" t="s">
        <v>245</v>
      </c>
      <c r="B1228" s="13" t="s">
        <v>114</v>
      </c>
      <c r="C1228" s="13" t="s">
        <v>132</v>
      </c>
      <c r="D1228" s="15" t="n">
        <v>1</v>
      </c>
      <c r="E1228" s="13" t="n">
        <v>1.00001</v>
      </c>
      <c r="F1228" s="16" t="str">
        <f aca="false">IF(H1228=1,"",D1228/E1228)</f>
        <v/>
      </c>
      <c r="G1228" s="17" t="str">
        <f aca="false">IF(H1228=1,"",D1228/E1228*Notas!$B$3)</f>
        <v/>
      </c>
      <c r="H1228" s="13" t="n">
        <v>1</v>
      </c>
      <c r="I1228" s="17" t="n">
        <f aca="false">IF(H1228=1,D1228,G1228)</f>
        <v>1</v>
      </c>
    </row>
    <row r="1229" customFormat="false" ht="15" hidden="false" customHeight="false" outlineLevel="0" collapsed="false">
      <c r="A1229" s="13" t="s">
        <v>245</v>
      </c>
      <c r="B1229" s="13" t="s">
        <v>114</v>
      </c>
      <c r="C1229" s="13" t="s">
        <v>133</v>
      </c>
      <c r="D1229" s="15" t="n">
        <v>0.39</v>
      </c>
      <c r="E1229" s="13" t="n">
        <v>1.00001</v>
      </c>
      <c r="F1229" s="16" t="n">
        <f aca="false">IF(H1229=1,"",D1229/E1229)</f>
        <v>0.389996100039</v>
      </c>
      <c r="G1229" s="17" t="n">
        <f aca="false">IF(H1229=1,"",D1229/E1229*Notas!$B$3)</f>
        <v>37.049629503705</v>
      </c>
      <c r="H1229" s="13" t="n">
        <v>0</v>
      </c>
      <c r="I1229" s="17" t="n">
        <f aca="false">IF(H1229=1,D1229,G1229)</f>
        <v>37.049629503705</v>
      </c>
    </row>
    <row r="1230" customFormat="false" ht="15" hidden="false" customHeight="false" outlineLevel="0" collapsed="false">
      <c r="A1230" s="13" t="s">
        <v>245</v>
      </c>
      <c r="B1230" s="13" t="s">
        <v>114</v>
      </c>
      <c r="C1230" s="13" t="s">
        <v>134</v>
      </c>
      <c r="D1230" s="15" t="n">
        <v>0.41413</v>
      </c>
      <c r="E1230" s="13" t="n">
        <v>1.00001</v>
      </c>
      <c r="F1230" s="16" t="n">
        <f aca="false">IF(H1230=1,"",D1230/E1230)</f>
        <v>0.414125858741413</v>
      </c>
      <c r="G1230" s="17" t="n">
        <f aca="false">IF(H1230=1,"",D1230/E1230*Notas!$B$3)</f>
        <v>39.3419565804342</v>
      </c>
      <c r="H1230" s="13" t="n">
        <v>0</v>
      </c>
      <c r="I1230" s="17" t="n">
        <f aca="false">IF(H1230=1,D1230,G1230)</f>
        <v>39.3419565804342</v>
      </c>
    </row>
    <row r="1231" customFormat="false" ht="15" hidden="false" customHeight="false" outlineLevel="0" collapsed="false">
      <c r="A1231" s="13" t="s">
        <v>245</v>
      </c>
      <c r="B1231" s="13" t="s">
        <v>114</v>
      </c>
      <c r="C1231" s="13" t="s">
        <v>135</v>
      </c>
      <c r="D1231" s="15" t="n">
        <v>0.1067</v>
      </c>
      <c r="E1231" s="13" t="n">
        <v>1.00001</v>
      </c>
      <c r="F1231" s="16" t="n">
        <f aca="false">IF(H1231=1,"",D1231/E1231)</f>
        <v>0.10669893301067</v>
      </c>
      <c r="G1231" s="17" t="n">
        <f aca="false">IF(H1231=1,"",D1231/E1231*Notas!$B$3)</f>
        <v>10.1363986360136</v>
      </c>
      <c r="H1231" s="13" t="n">
        <v>0</v>
      </c>
      <c r="I1231" s="17" t="n">
        <f aca="false">IF(H1231=1,D1231,G1231)</f>
        <v>10.1363986360136</v>
      </c>
    </row>
    <row r="1232" customFormat="false" ht="15" hidden="false" customHeight="false" outlineLevel="0" collapsed="false">
      <c r="A1232" s="13" t="s">
        <v>245</v>
      </c>
      <c r="B1232" s="13" t="s">
        <v>114</v>
      </c>
      <c r="C1232" s="13" t="s">
        <v>136</v>
      </c>
      <c r="D1232" s="15" t="n">
        <v>1.10053</v>
      </c>
      <c r="E1232" s="13" t="n">
        <v>1.00001</v>
      </c>
      <c r="F1232" s="16" t="n">
        <f aca="false">IF(H1232=1,"",D1232/E1232)</f>
        <v>1.10051899481005</v>
      </c>
      <c r="G1232" s="17" t="n">
        <f aca="false">IF(H1232=1,"",D1232/E1232*Notas!$B$3)</f>
        <v>104.549304506955</v>
      </c>
      <c r="H1232" s="13" t="n">
        <v>0</v>
      </c>
      <c r="I1232" s="17" t="n">
        <f aca="false">IF(H1232=1,D1232,G1232)</f>
        <v>104.549304506955</v>
      </c>
    </row>
    <row r="1233" customFormat="false" ht="15" hidden="false" customHeight="false" outlineLevel="0" collapsed="false">
      <c r="A1233" s="13" t="s">
        <v>245</v>
      </c>
      <c r="B1233" s="13" t="s">
        <v>114</v>
      </c>
      <c r="C1233" s="13" t="s">
        <v>137</v>
      </c>
      <c r="D1233" s="15" t="n">
        <v>0.41413</v>
      </c>
      <c r="E1233" s="13" t="n">
        <v>1.00001</v>
      </c>
      <c r="F1233" s="16" t="n">
        <f aca="false">IF(H1233=1,"",D1233/E1233)</f>
        <v>0.414125858741413</v>
      </c>
      <c r="G1233" s="17" t="n">
        <f aca="false">IF(H1233=1,"",D1233/E1233*Notas!$B$3)</f>
        <v>39.3419565804342</v>
      </c>
      <c r="H1233" s="13" t="n">
        <v>0</v>
      </c>
      <c r="I1233" s="17" t="n">
        <f aca="false">IF(H1233=1,D1233,G1233)</f>
        <v>39.3419565804342</v>
      </c>
    </row>
    <row r="1234" customFormat="false" ht="15" hidden="false" customHeight="false" outlineLevel="0" collapsed="false">
      <c r="A1234" s="13" t="s">
        <v>245</v>
      </c>
      <c r="B1234" s="13" t="s">
        <v>114</v>
      </c>
      <c r="C1234" s="13" t="s">
        <v>138</v>
      </c>
      <c r="D1234" s="15" t="n">
        <v>1</v>
      </c>
      <c r="E1234" s="13" t="n">
        <v>1.00001</v>
      </c>
      <c r="F1234" s="16" t="str">
        <f aca="false">IF(H1234=1,"",D1234/E1234)</f>
        <v/>
      </c>
      <c r="G1234" s="17" t="str">
        <f aca="false">IF(H1234=1,"",D1234/E1234*Notas!$B$3)</f>
        <v/>
      </c>
      <c r="H1234" s="13" t="n">
        <v>1</v>
      </c>
      <c r="I1234" s="17" t="n">
        <f aca="false">IF(H1234=1,D1234,G1234)</f>
        <v>1</v>
      </c>
    </row>
    <row r="1235" customFormat="false" ht="15" hidden="false" customHeight="false" outlineLevel="0" collapsed="false">
      <c r="A1235" s="13" t="s">
        <v>247</v>
      </c>
      <c r="B1235" s="13" t="s">
        <v>17</v>
      </c>
      <c r="C1235" s="13" t="s">
        <v>18</v>
      </c>
      <c r="D1235" s="15" t="n">
        <v>0.99935</v>
      </c>
      <c r="E1235" s="13" t="n">
        <v>0.99935</v>
      </c>
      <c r="F1235" s="16" t="n">
        <f aca="false">IF(H1235=1,"",D1235/E1235)</f>
        <v>1</v>
      </c>
      <c r="G1235" s="17" t="n">
        <f aca="false">IF(H1235=1,"",D1235/E1235*Notas!$B$3)</f>
        <v>95</v>
      </c>
      <c r="H1235" s="13" t="n">
        <v>0</v>
      </c>
      <c r="I1235" s="17" t="n">
        <f aca="false">IF(H1235=1,D1235,G1235)</f>
        <v>95</v>
      </c>
    </row>
    <row r="1236" customFormat="false" ht="15" hidden="false" customHeight="false" outlineLevel="0" collapsed="false">
      <c r="A1236" s="13" t="s">
        <v>247</v>
      </c>
      <c r="B1236" s="13" t="s">
        <v>17</v>
      </c>
      <c r="C1236" s="13" t="s">
        <v>19</v>
      </c>
      <c r="D1236" s="15" t="n">
        <v>0.49257</v>
      </c>
      <c r="E1236" s="13" t="n">
        <v>0.99935</v>
      </c>
      <c r="F1236" s="16" t="n">
        <f aca="false">IF(H1236=1,"",D1236/E1236)</f>
        <v>0.492890378746185</v>
      </c>
      <c r="G1236" s="17" t="n">
        <f aca="false">IF(H1236=1,"",D1236/E1236*Notas!$B$3)</f>
        <v>46.8245859808876</v>
      </c>
      <c r="H1236" s="13" t="n">
        <v>0</v>
      </c>
      <c r="I1236" s="17" t="n">
        <f aca="false">IF(H1236=1,D1236,G1236)</f>
        <v>46.8245859808876</v>
      </c>
    </row>
    <row r="1237" customFormat="false" ht="15" hidden="false" customHeight="false" outlineLevel="0" collapsed="false">
      <c r="A1237" s="13" t="s">
        <v>247</v>
      </c>
      <c r="B1237" s="13" t="s">
        <v>17</v>
      </c>
      <c r="C1237" s="13" t="s">
        <v>20</v>
      </c>
      <c r="D1237" s="15" t="n">
        <v>0.45407</v>
      </c>
      <c r="E1237" s="13" t="n">
        <v>0.99935</v>
      </c>
      <c r="F1237" s="16" t="n">
        <f aca="false">IF(H1237=1,"",D1237/E1237)</f>
        <v>0.454365337469355</v>
      </c>
      <c r="G1237" s="17" t="n">
        <f aca="false">IF(H1237=1,"",D1237/E1237*Notas!$B$3)</f>
        <v>43.1647070595887</v>
      </c>
      <c r="H1237" s="13" t="n">
        <v>0</v>
      </c>
      <c r="I1237" s="17" t="n">
        <f aca="false">IF(H1237=1,D1237,G1237)</f>
        <v>43.1647070595887</v>
      </c>
    </row>
    <row r="1238" customFormat="false" ht="15" hidden="false" customHeight="false" outlineLevel="0" collapsed="false">
      <c r="A1238" s="13" t="s">
        <v>247</v>
      </c>
      <c r="B1238" s="13" t="s">
        <v>17</v>
      </c>
      <c r="C1238" s="13" t="s">
        <v>21</v>
      </c>
      <c r="D1238" s="15" t="n">
        <v>9289</v>
      </c>
      <c r="E1238" s="13" t="n">
        <v>0.99935</v>
      </c>
      <c r="F1238" s="16" t="str">
        <f aca="false">IF(H1238=1,"",D1238/E1238)</f>
        <v/>
      </c>
      <c r="G1238" s="17" t="str">
        <f aca="false">IF(H1238=1,"",D1238/E1238*Notas!$B$3)</f>
        <v/>
      </c>
      <c r="H1238" s="13" t="n">
        <v>1</v>
      </c>
      <c r="I1238" s="17" t="n">
        <f aca="false">IF(H1238=1,D1238,G1238)</f>
        <v>9289</v>
      </c>
    </row>
    <row r="1239" customFormat="false" ht="15" hidden="false" customHeight="false" outlineLevel="0" collapsed="false">
      <c r="A1239" s="13" t="s">
        <v>247</v>
      </c>
      <c r="B1239" s="13" t="s">
        <v>17</v>
      </c>
      <c r="C1239" s="13" t="s">
        <v>22</v>
      </c>
      <c r="D1239" s="15" t="n">
        <v>4641</v>
      </c>
      <c r="E1239" s="13" t="n">
        <v>0.99935</v>
      </c>
      <c r="F1239" s="16" t="str">
        <f aca="false">IF(H1239=1,"",D1239/E1239)</f>
        <v/>
      </c>
      <c r="G1239" s="17" t="str">
        <f aca="false">IF(H1239=1,"",D1239/E1239*Notas!$B$3)</f>
        <v/>
      </c>
      <c r="H1239" s="13" t="n">
        <v>1</v>
      </c>
      <c r="I1239" s="17" t="n">
        <f aca="false">IF(H1239=1,D1239,G1239)</f>
        <v>4641</v>
      </c>
    </row>
    <row r="1240" customFormat="false" ht="15" hidden="false" customHeight="false" outlineLevel="0" collapsed="false">
      <c r="A1240" s="13" t="s">
        <v>247</v>
      </c>
      <c r="B1240" s="13" t="s">
        <v>17</v>
      </c>
      <c r="C1240" s="13" t="s">
        <v>23</v>
      </c>
      <c r="D1240" s="15" t="n">
        <v>1.59836</v>
      </c>
      <c r="E1240" s="13" t="n">
        <v>0.99935</v>
      </c>
      <c r="F1240" s="16" t="str">
        <f aca="false">IF(H1240=1,"",D1240/E1240)</f>
        <v/>
      </c>
      <c r="G1240" s="17" t="str">
        <f aca="false">IF(H1240=1,"",D1240/E1240*Notas!$B$3)</f>
        <v/>
      </c>
      <c r="H1240" s="13" t="n">
        <v>1</v>
      </c>
      <c r="I1240" s="17" t="n">
        <f aca="false">IF(H1240=1,D1240,G1240)</f>
        <v>1.59836</v>
      </c>
    </row>
    <row r="1241" customFormat="false" ht="15" hidden="false" customHeight="false" outlineLevel="0" collapsed="false">
      <c r="A1241" s="13" t="s">
        <v>247</v>
      </c>
      <c r="B1241" s="13" t="s">
        <v>17</v>
      </c>
      <c r="C1241" s="13" t="s">
        <v>24</v>
      </c>
      <c r="D1241" s="15" t="n">
        <v>0.05682</v>
      </c>
      <c r="E1241" s="13" t="n">
        <v>0.99935</v>
      </c>
      <c r="F1241" s="16" t="str">
        <f aca="false">IF(H1241=1,"",D1241/E1241)</f>
        <v/>
      </c>
      <c r="G1241" s="17" t="str">
        <f aca="false">IF(H1241=1,"",D1241/E1241*Notas!$B$3)</f>
        <v/>
      </c>
      <c r="H1241" s="13" t="n">
        <v>1</v>
      </c>
      <c r="I1241" s="17" t="n">
        <f aca="false">IF(H1241=1,D1241,G1241)</f>
        <v>0.05682</v>
      </c>
    </row>
    <row r="1242" customFormat="false" ht="15" hidden="false" customHeight="false" outlineLevel="0" collapsed="false">
      <c r="A1242" s="13" t="s">
        <v>247</v>
      </c>
      <c r="B1242" s="13" t="s">
        <v>25</v>
      </c>
      <c r="C1242" s="13" t="s">
        <v>26</v>
      </c>
      <c r="D1242" s="15" t="n">
        <v>63.07858</v>
      </c>
      <c r="E1242" s="13" t="n">
        <v>0.99935</v>
      </c>
      <c r="F1242" s="16" t="str">
        <f aca="false">IF(H1242=1,"",D1242/E1242)</f>
        <v/>
      </c>
      <c r="G1242" s="17" t="str">
        <f aca="false">IF(H1242=1,"",D1242/E1242*Notas!$B$3)</f>
        <v/>
      </c>
      <c r="H1242" s="13" t="n">
        <v>1</v>
      </c>
      <c r="I1242" s="17" t="n">
        <f aca="false">IF(H1242=1,D1242,G1242)</f>
        <v>63.07858</v>
      </c>
    </row>
    <row r="1243" customFormat="false" ht="15" hidden="false" customHeight="false" outlineLevel="0" collapsed="false">
      <c r="A1243" s="13" t="s">
        <v>247</v>
      </c>
      <c r="B1243" s="13" t="s">
        <v>25</v>
      </c>
      <c r="C1243" s="13" t="s">
        <v>27</v>
      </c>
      <c r="D1243" s="15" t="n">
        <v>7.8189</v>
      </c>
      <c r="E1243" s="13" t="n">
        <v>0.99935</v>
      </c>
      <c r="F1243" s="16" t="str">
        <f aca="false">IF(H1243=1,"",D1243/E1243)</f>
        <v/>
      </c>
      <c r="G1243" s="17" t="str">
        <f aca="false">IF(H1243=1,"",D1243/E1243*Notas!$B$3)</f>
        <v/>
      </c>
      <c r="H1243" s="13" t="n">
        <v>1</v>
      </c>
      <c r="I1243" s="17" t="n">
        <f aca="false">IF(H1243=1,D1243,G1243)</f>
        <v>7.8189</v>
      </c>
    </row>
    <row r="1244" customFormat="false" ht="15" hidden="false" customHeight="false" outlineLevel="0" collapsed="false">
      <c r="A1244" s="13" t="s">
        <v>247</v>
      </c>
      <c r="B1244" s="13" t="s">
        <v>25</v>
      </c>
      <c r="C1244" s="13" t="s">
        <v>28</v>
      </c>
      <c r="D1244" s="15" t="n">
        <v>22.05436</v>
      </c>
      <c r="E1244" s="13" t="n">
        <v>0.99935</v>
      </c>
      <c r="F1244" s="16" t="str">
        <f aca="false">IF(H1244=1,"",D1244/E1244)</f>
        <v/>
      </c>
      <c r="G1244" s="17" t="str">
        <f aca="false">IF(H1244=1,"",D1244/E1244*Notas!$B$3)</f>
        <v/>
      </c>
      <c r="H1244" s="13" t="n">
        <v>1</v>
      </c>
      <c r="I1244" s="17" t="n">
        <f aca="false">IF(H1244=1,D1244,G1244)</f>
        <v>22.05436</v>
      </c>
    </row>
    <row r="1245" customFormat="false" ht="15" hidden="false" customHeight="false" outlineLevel="0" collapsed="false">
      <c r="A1245" s="13" t="s">
        <v>247</v>
      </c>
      <c r="B1245" s="13" t="s">
        <v>25</v>
      </c>
      <c r="C1245" s="13" t="s">
        <v>29</v>
      </c>
      <c r="D1245" s="15" t="n">
        <v>7.04816</v>
      </c>
      <c r="E1245" s="13" t="n">
        <v>0.99935</v>
      </c>
      <c r="F1245" s="16" t="str">
        <f aca="false">IF(H1245=1,"",D1245/E1245)</f>
        <v/>
      </c>
      <c r="G1245" s="17" t="str">
        <f aca="false">IF(H1245=1,"",D1245/E1245*Notas!$B$3)</f>
        <v/>
      </c>
      <c r="H1245" s="13" t="n">
        <v>1</v>
      </c>
      <c r="I1245" s="17" t="n">
        <f aca="false">IF(H1245=1,D1245,G1245)</f>
        <v>7.04816</v>
      </c>
    </row>
    <row r="1246" customFormat="false" ht="15" hidden="false" customHeight="false" outlineLevel="0" collapsed="false">
      <c r="A1246" s="13" t="s">
        <v>247</v>
      </c>
      <c r="B1246" s="13" t="s">
        <v>30</v>
      </c>
      <c r="C1246" s="13" t="s">
        <v>31</v>
      </c>
      <c r="D1246" s="15" t="n">
        <v>0.55964</v>
      </c>
      <c r="E1246" s="13" t="n">
        <v>0.99935</v>
      </c>
      <c r="F1246" s="16" t="n">
        <f aca="false">IF(H1246=1,"",D1246/E1246)</f>
        <v>0.560004002601691</v>
      </c>
      <c r="G1246" s="17" t="n">
        <f aca="false">IF(H1246=1,"",D1246/E1246*Notas!$B$3)</f>
        <v>53.2003802471607</v>
      </c>
      <c r="H1246" s="13" t="n">
        <v>0</v>
      </c>
      <c r="I1246" s="17" t="n">
        <f aca="false">IF(H1246=1,D1246,G1246)</f>
        <v>53.2003802471607</v>
      </c>
    </row>
    <row r="1247" customFormat="false" ht="15" hidden="false" customHeight="false" outlineLevel="0" collapsed="false">
      <c r="A1247" s="13" t="s">
        <v>247</v>
      </c>
      <c r="B1247" s="13" t="s">
        <v>30</v>
      </c>
      <c r="C1247" s="13" t="s">
        <v>32</v>
      </c>
      <c r="D1247" s="15" t="n">
        <v>0.43971</v>
      </c>
      <c r="E1247" s="13" t="n">
        <v>0.99935</v>
      </c>
      <c r="F1247" s="16" t="n">
        <f aca="false">IF(H1247=1,"",D1247/E1247)</f>
        <v>0.439995997398309</v>
      </c>
      <c r="G1247" s="17" t="n">
        <f aca="false">IF(H1247=1,"",D1247/E1247*Notas!$B$3)</f>
        <v>41.7996197528394</v>
      </c>
      <c r="H1247" s="13" t="n">
        <v>0</v>
      </c>
      <c r="I1247" s="17" t="n">
        <f aca="false">IF(H1247=1,D1247,G1247)</f>
        <v>41.7996197528394</v>
      </c>
    </row>
    <row r="1248" customFormat="false" ht="15" hidden="false" customHeight="false" outlineLevel="0" collapsed="false">
      <c r="A1248" s="13" t="s">
        <v>247</v>
      </c>
      <c r="B1248" s="13" t="s">
        <v>30</v>
      </c>
      <c r="C1248" s="13" t="s">
        <v>33</v>
      </c>
      <c r="D1248" s="15" t="n">
        <v>0.49257</v>
      </c>
      <c r="E1248" s="13" t="n">
        <v>0.99935</v>
      </c>
      <c r="F1248" s="16" t="n">
        <f aca="false">IF(H1248=1,"",D1248/E1248)</f>
        <v>0.492890378746185</v>
      </c>
      <c r="G1248" s="17" t="n">
        <f aca="false">IF(H1248=1,"",D1248/E1248*Notas!$B$3)</f>
        <v>46.8245859808876</v>
      </c>
      <c r="H1248" s="13" t="n">
        <v>0</v>
      </c>
      <c r="I1248" s="17" t="n">
        <f aca="false">IF(H1248=1,D1248,G1248)</f>
        <v>46.8245859808876</v>
      </c>
    </row>
    <row r="1249" customFormat="false" ht="15" hidden="false" customHeight="false" outlineLevel="0" collapsed="false">
      <c r="A1249" s="13" t="s">
        <v>247</v>
      </c>
      <c r="B1249" s="13" t="s">
        <v>30</v>
      </c>
      <c r="C1249" s="13" t="s">
        <v>34</v>
      </c>
      <c r="D1249" s="15" t="n">
        <v>0.45407</v>
      </c>
      <c r="E1249" s="13" t="n">
        <v>0.99935</v>
      </c>
      <c r="F1249" s="16" t="n">
        <f aca="false">IF(H1249=1,"",D1249/E1249)</f>
        <v>0.454365337469355</v>
      </c>
      <c r="G1249" s="17" t="n">
        <f aca="false">IF(H1249=1,"",D1249/E1249*Notas!$B$3)</f>
        <v>43.1647070595887</v>
      </c>
      <c r="H1249" s="13" t="n">
        <v>0</v>
      </c>
      <c r="I1249" s="17" t="n">
        <f aca="false">IF(H1249=1,D1249,G1249)</f>
        <v>43.1647070595887</v>
      </c>
    </row>
    <row r="1250" customFormat="false" ht="15" hidden="false" customHeight="false" outlineLevel="0" collapsed="false">
      <c r="A1250" s="13" t="s">
        <v>247</v>
      </c>
      <c r="B1250" s="13" t="s">
        <v>35</v>
      </c>
      <c r="C1250" s="13" t="s">
        <v>36</v>
      </c>
      <c r="D1250" s="15" t="n">
        <v>2.27273</v>
      </c>
      <c r="E1250" s="13" t="n">
        <v>0.99935</v>
      </c>
      <c r="F1250" s="16" t="str">
        <f aca="false">IF(H1250=1,"",D1250/E1250)</f>
        <v/>
      </c>
      <c r="G1250" s="17" t="str">
        <f aca="false">IF(H1250=1,"",D1250/E1250*Notas!$B$3)</f>
        <v/>
      </c>
      <c r="H1250" s="13" t="n">
        <v>1</v>
      </c>
      <c r="I1250" s="17" t="n">
        <f aca="false">IF(H1250=1,D1250,G1250)</f>
        <v>2.27273</v>
      </c>
    </row>
    <row r="1251" customFormat="false" ht="15" hidden="false" customHeight="false" outlineLevel="0" collapsed="false">
      <c r="A1251" s="13" t="s">
        <v>247</v>
      </c>
      <c r="B1251" s="13" t="s">
        <v>35</v>
      </c>
      <c r="C1251" s="13" t="s">
        <v>37</v>
      </c>
      <c r="D1251" s="15" t="n">
        <v>44</v>
      </c>
      <c r="E1251" s="13" t="n">
        <v>0.99935</v>
      </c>
      <c r="F1251" s="16" t="str">
        <f aca="false">IF(H1251=1,"",D1251/E1251)</f>
        <v/>
      </c>
      <c r="G1251" s="17" t="str">
        <f aca="false">IF(H1251=1,"",D1251/E1251*Notas!$B$3)</f>
        <v/>
      </c>
      <c r="H1251" s="13" t="n">
        <v>1</v>
      </c>
      <c r="I1251" s="17" t="n">
        <f aca="false">IF(H1251=1,D1251,G1251)</f>
        <v>44</v>
      </c>
    </row>
    <row r="1252" customFormat="false" ht="15" hidden="false" customHeight="false" outlineLevel="0" collapsed="false">
      <c r="A1252" s="13" t="s">
        <v>247</v>
      </c>
      <c r="B1252" s="13" t="s">
        <v>38</v>
      </c>
      <c r="C1252" s="13" t="s">
        <v>39</v>
      </c>
      <c r="D1252" s="15" t="n">
        <v>0.70504</v>
      </c>
      <c r="E1252" s="13" t="n">
        <v>0.99935</v>
      </c>
      <c r="F1252" s="16" t="n">
        <f aca="false">IF(H1252=1,"",D1252/E1252)</f>
        <v>0.705498574073148</v>
      </c>
      <c r="G1252" s="17" t="n">
        <f aca="false">IF(H1252=1,"",D1252/E1252*Notas!$B$3)</f>
        <v>67.022364536949</v>
      </c>
      <c r="H1252" s="13" t="n">
        <v>0</v>
      </c>
      <c r="I1252" s="17" t="n">
        <f aca="false">IF(H1252=1,D1252,G1252)</f>
        <v>67.022364536949</v>
      </c>
    </row>
    <row r="1253" customFormat="false" ht="15" hidden="false" customHeight="false" outlineLevel="0" collapsed="false">
      <c r="A1253" s="13" t="s">
        <v>247</v>
      </c>
      <c r="B1253" s="13" t="s">
        <v>38</v>
      </c>
      <c r="C1253" s="13" t="s">
        <v>40</v>
      </c>
      <c r="D1253" s="15" t="n">
        <v>0.1577</v>
      </c>
      <c r="E1253" s="13" t="n">
        <v>0.99935</v>
      </c>
      <c r="F1253" s="16" t="n">
        <f aca="false">IF(H1253=1,"",D1253/E1253)</f>
        <v>0.157802571671587</v>
      </c>
      <c r="G1253" s="17" t="n">
        <f aca="false">IF(H1253=1,"",D1253/E1253*Notas!$B$3)</f>
        <v>14.9912443088007</v>
      </c>
      <c r="H1253" s="13" t="n">
        <v>0</v>
      </c>
      <c r="I1253" s="17" t="n">
        <f aca="false">IF(H1253=1,D1253,G1253)</f>
        <v>14.9912443088007</v>
      </c>
    </row>
    <row r="1254" customFormat="false" ht="15" hidden="false" customHeight="false" outlineLevel="0" collapsed="false">
      <c r="A1254" s="13" t="s">
        <v>247</v>
      </c>
      <c r="B1254" s="13" t="s">
        <v>38</v>
      </c>
      <c r="C1254" s="13" t="s">
        <v>41</v>
      </c>
      <c r="D1254" s="15" t="n">
        <v>0.17092</v>
      </c>
      <c r="E1254" s="13" t="n">
        <v>0.99935</v>
      </c>
      <c r="F1254" s="16" t="n">
        <f aca="false">IF(H1254=1,"",D1254/E1254)</f>
        <v>0.171031170260669</v>
      </c>
      <c r="G1254" s="17" t="n">
        <f aca="false">IF(H1254=1,"",D1254/E1254*Notas!$B$3)</f>
        <v>16.2479611747636</v>
      </c>
      <c r="H1254" s="13" t="n">
        <v>0</v>
      </c>
      <c r="I1254" s="17" t="n">
        <f aca="false">IF(H1254=1,D1254,G1254)</f>
        <v>16.2479611747636</v>
      </c>
    </row>
    <row r="1255" customFormat="false" ht="15" hidden="false" customHeight="false" outlineLevel="0" collapsed="false">
      <c r="A1255" s="13" t="s">
        <v>247</v>
      </c>
      <c r="B1255" s="13" t="s">
        <v>38</v>
      </c>
      <c r="C1255" s="13" t="s">
        <v>42</v>
      </c>
      <c r="D1255" s="15" t="n">
        <v>-0.09072</v>
      </c>
      <c r="E1255" s="13" t="n">
        <v>0.99935</v>
      </c>
      <c r="F1255" s="16" t="n">
        <f aca="false">IF(H1255=1,"",D1255/E1255)</f>
        <v>-0.0907790063541302</v>
      </c>
      <c r="G1255" s="17" t="n">
        <f aca="false">IF(H1255=1,"",D1255/E1255*Notas!$B$3)</f>
        <v>-8.62400560364237</v>
      </c>
      <c r="H1255" s="13" t="n">
        <v>0</v>
      </c>
      <c r="I1255" s="17" t="n">
        <f aca="false">IF(H1255=1,D1255,G1255)</f>
        <v>-8.62400560364237</v>
      </c>
    </row>
    <row r="1256" customFormat="false" ht="15" hidden="false" customHeight="false" outlineLevel="0" collapsed="false">
      <c r="A1256" s="13" t="s">
        <v>247</v>
      </c>
      <c r="B1256" s="13" t="s">
        <v>38</v>
      </c>
      <c r="C1256" s="13" t="s">
        <v>43</v>
      </c>
      <c r="D1256" s="15" t="n">
        <v>0.73123</v>
      </c>
      <c r="E1256" s="13" t="n">
        <v>0.99935</v>
      </c>
      <c r="F1256" s="16" t="n">
        <f aca="false">IF(H1256=1,"",D1256/E1256)</f>
        <v>0.73170560864562</v>
      </c>
      <c r="G1256" s="17" t="n">
        <f aca="false">IF(H1256=1,"",D1256/E1256*Notas!$B$3)</f>
        <v>69.5120328213339</v>
      </c>
      <c r="H1256" s="13" t="n">
        <v>0</v>
      </c>
      <c r="I1256" s="17" t="n">
        <f aca="false">IF(H1256=1,D1256,G1256)</f>
        <v>69.5120328213339</v>
      </c>
    </row>
    <row r="1257" customFormat="false" ht="15" hidden="false" customHeight="false" outlineLevel="0" collapsed="false">
      <c r="A1257" s="13" t="s">
        <v>247</v>
      </c>
      <c r="B1257" s="13" t="s">
        <v>38</v>
      </c>
      <c r="C1257" s="13" t="s">
        <v>44</v>
      </c>
      <c r="D1257" s="15" t="n">
        <v>0.08698</v>
      </c>
      <c r="E1257" s="13" t="n">
        <v>0.99935</v>
      </c>
      <c r="F1257" s="16" t="n">
        <f aca="false">IF(H1257=1,"",D1257/E1257)</f>
        <v>0.0870365737729524</v>
      </c>
      <c r="G1257" s="17" t="n">
        <f aca="false">IF(H1257=1,"",D1257/E1257*Notas!$B$3)</f>
        <v>8.26847450843048</v>
      </c>
      <c r="H1257" s="13" t="n">
        <v>0</v>
      </c>
      <c r="I1257" s="17" t="n">
        <f aca="false">IF(H1257=1,D1257,G1257)</f>
        <v>8.26847450843048</v>
      </c>
    </row>
    <row r="1258" customFormat="false" ht="15" hidden="false" customHeight="false" outlineLevel="0" collapsed="false">
      <c r="A1258" s="13" t="s">
        <v>247</v>
      </c>
      <c r="B1258" s="13" t="s">
        <v>38</v>
      </c>
      <c r="C1258" s="13" t="s">
        <v>45</v>
      </c>
      <c r="D1258" s="15" t="n">
        <v>0.0973</v>
      </c>
      <c r="E1258" s="13" t="n">
        <v>0.99935</v>
      </c>
      <c r="F1258" s="16" t="n">
        <f aca="false">IF(H1258=1,"",D1258/E1258)</f>
        <v>0.0973632861359884</v>
      </c>
      <c r="G1258" s="17" t="n">
        <f aca="false">IF(H1258=1,"",D1258/E1258*Notas!$B$3)</f>
        <v>9.2495121829189</v>
      </c>
      <c r="H1258" s="13" t="n">
        <v>0</v>
      </c>
      <c r="I1258" s="17" t="n">
        <f aca="false">IF(H1258=1,D1258,G1258)</f>
        <v>9.2495121829189</v>
      </c>
    </row>
    <row r="1259" customFormat="false" ht="15" hidden="false" customHeight="false" outlineLevel="0" collapsed="false">
      <c r="A1259" s="13" t="s">
        <v>247</v>
      </c>
      <c r="B1259" s="13" t="s">
        <v>38</v>
      </c>
      <c r="C1259" s="13" t="s">
        <v>46</v>
      </c>
      <c r="D1259" s="15" t="n">
        <v>0.06362</v>
      </c>
      <c r="E1259" s="13" t="n">
        <v>0.99935</v>
      </c>
      <c r="F1259" s="16" t="n">
        <f aca="false">IF(H1259=1,"",D1259/E1259)</f>
        <v>0.063661379896933</v>
      </c>
      <c r="G1259" s="17" t="n">
        <f aca="false">IF(H1259=1,"",D1259/E1259*Notas!$B$3)</f>
        <v>6.04783109020864</v>
      </c>
      <c r="H1259" s="13" t="n">
        <v>0</v>
      </c>
      <c r="I1259" s="17" t="n">
        <f aca="false">IF(H1259=1,D1259,G1259)</f>
        <v>6.04783109020864</v>
      </c>
    </row>
    <row r="1260" customFormat="false" ht="15" hidden="false" customHeight="false" outlineLevel="0" collapsed="false">
      <c r="A1260" s="13" t="s">
        <v>247</v>
      </c>
      <c r="B1260" s="13" t="s">
        <v>38</v>
      </c>
      <c r="C1260" s="13" t="s">
        <v>47</v>
      </c>
      <c r="D1260" s="15" t="n">
        <v>0.17092</v>
      </c>
      <c r="E1260" s="13" t="n">
        <v>0.99935</v>
      </c>
      <c r="F1260" s="16" t="n">
        <f aca="false">IF(H1260=1,"",D1260/E1260)</f>
        <v>0.171031170260669</v>
      </c>
      <c r="G1260" s="17" t="n">
        <f aca="false">IF(H1260=1,"",D1260/E1260*Notas!$B$3)</f>
        <v>16.2479611747636</v>
      </c>
      <c r="H1260" s="13" t="n">
        <v>0</v>
      </c>
      <c r="I1260" s="17" t="n">
        <f aca="false">IF(H1260=1,D1260,G1260)</f>
        <v>16.2479611747636</v>
      </c>
    </row>
    <row r="1261" customFormat="false" ht="15" hidden="false" customHeight="false" outlineLevel="0" collapsed="false">
      <c r="A1261" s="13" t="s">
        <v>247</v>
      </c>
      <c r="B1261" s="13" t="s">
        <v>38</v>
      </c>
      <c r="C1261" s="13" t="s">
        <v>48</v>
      </c>
      <c r="D1261" s="15" t="n">
        <v>0.27668</v>
      </c>
      <c r="E1261" s="13" t="n">
        <v>0.99935</v>
      </c>
      <c r="F1261" s="16" t="n">
        <f aca="false">IF(H1261=1,"",D1261/E1261)</f>
        <v>0.276859958973333</v>
      </c>
      <c r="G1261" s="17" t="n">
        <f aca="false">IF(H1261=1,"",D1261/E1261*Notas!$B$3)</f>
        <v>26.3016961024666</v>
      </c>
      <c r="H1261" s="13" t="n">
        <v>0</v>
      </c>
      <c r="I1261" s="17" t="n">
        <f aca="false">IF(H1261=1,D1261,G1261)</f>
        <v>26.3016961024666</v>
      </c>
    </row>
    <row r="1262" customFormat="false" ht="15" hidden="false" customHeight="false" outlineLevel="0" collapsed="false">
      <c r="A1262" s="13" t="s">
        <v>247</v>
      </c>
      <c r="B1262" s="13" t="s">
        <v>30</v>
      </c>
      <c r="C1262" s="13" t="s">
        <v>49</v>
      </c>
      <c r="D1262" s="15" t="n">
        <v>0.4245</v>
      </c>
      <c r="E1262" s="13" t="n">
        <v>0.99935</v>
      </c>
      <c r="F1262" s="16" t="n">
        <f aca="false">IF(H1262=1,"",D1262/E1262)</f>
        <v>0.424776104467904</v>
      </c>
      <c r="G1262" s="17" t="n">
        <f aca="false">IF(H1262=1,"",D1262/E1262*Notas!$B$3)</f>
        <v>40.3537299244509</v>
      </c>
      <c r="H1262" s="13" t="n">
        <v>0</v>
      </c>
      <c r="I1262" s="17" t="n">
        <f aca="false">IF(H1262=1,D1262,G1262)</f>
        <v>40.3537299244509</v>
      </c>
    </row>
    <row r="1263" customFormat="false" ht="15" hidden="false" customHeight="false" outlineLevel="0" collapsed="false">
      <c r="A1263" s="13" t="s">
        <v>247</v>
      </c>
      <c r="B1263" s="13" t="s">
        <v>30</v>
      </c>
      <c r="C1263" s="13" t="s">
        <v>50</v>
      </c>
      <c r="D1263" s="15" t="n">
        <v>0.43578</v>
      </c>
      <c r="E1263" s="13" t="n">
        <v>0.99935</v>
      </c>
      <c r="F1263" s="16" t="n">
        <f aca="false">IF(H1263=1,"",D1263/E1263)</f>
        <v>0.436063441236804</v>
      </c>
      <c r="G1263" s="17" t="n">
        <f aca="false">IF(H1263=1,"",D1263/E1263*Notas!$B$3)</f>
        <v>41.4260269174964</v>
      </c>
      <c r="H1263" s="13" t="n">
        <v>0</v>
      </c>
      <c r="I1263" s="17" t="n">
        <f aca="false">IF(H1263=1,D1263,G1263)</f>
        <v>41.4260269174964</v>
      </c>
    </row>
    <row r="1264" customFormat="false" ht="15" hidden="false" customHeight="false" outlineLevel="0" collapsed="false">
      <c r="A1264" s="13" t="s">
        <v>247</v>
      </c>
      <c r="B1264" s="13" t="s">
        <v>30</v>
      </c>
      <c r="C1264" s="13" t="s">
        <v>51</v>
      </c>
      <c r="D1264" s="15" t="n">
        <v>1.96272</v>
      </c>
      <c r="E1264" s="13" t="n">
        <v>0.99935</v>
      </c>
      <c r="F1264" s="16" t="n">
        <f aca="false">IF(H1264=1,"",D1264/E1264)</f>
        <v>1.96399659778856</v>
      </c>
      <c r="G1264" s="17" t="n">
        <f aca="false">IF(H1264=1,"",D1264/E1264*Notas!$B$3)</f>
        <v>186.579676789913</v>
      </c>
      <c r="H1264" s="13" t="n">
        <v>0</v>
      </c>
      <c r="I1264" s="17" t="n">
        <f aca="false">IF(H1264=1,D1264,G1264)</f>
        <v>186.579676789913</v>
      </c>
    </row>
    <row r="1265" customFormat="false" ht="15" hidden="false" customHeight="false" outlineLevel="0" collapsed="false">
      <c r="A1265" s="13" t="s">
        <v>247</v>
      </c>
      <c r="B1265" s="13" t="s">
        <v>30</v>
      </c>
      <c r="C1265" s="13" t="s">
        <v>52</v>
      </c>
      <c r="D1265" s="15" t="n">
        <v>0.47224</v>
      </c>
      <c r="E1265" s="13" t="n">
        <v>0.99935</v>
      </c>
      <c r="F1265" s="16" t="n">
        <f aca="false">IF(H1265=1,"",D1265/E1265)</f>
        <v>0.472547155651173</v>
      </c>
      <c r="G1265" s="17" t="n">
        <f aca="false">IF(H1265=1,"",D1265/E1265*Notas!$B$3)</f>
        <v>44.8919797868615</v>
      </c>
      <c r="H1265" s="13" t="n">
        <v>0</v>
      </c>
      <c r="I1265" s="17" t="n">
        <f aca="false">IF(H1265=1,D1265,G1265)</f>
        <v>44.8919797868615</v>
      </c>
    </row>
    <row r="1266" customFormat="false" ht="15" hidden="false" customHeight="false" outlineLevel="0" collapsed="false">
      <c r="A1266" s="13" t="s">
        <v>247</v>
      </c>
      <c r="B1266" s="13" t="s">
        <v>30</v>
      </c>
      <c r="C1266" s="13" t="s">
        <v>53</v>
      </c>
      <c r="D1266" s="15" t="n">
        <v>0.44412</v>
      </c>
      <c r="E1266" s="13" t="n">
        <v>0.99935</v>
      </c>
      <c r="F1266" s="16" t="n">
        <f aca="false">IF(H1266=1,"",D1266/E1266)</f>
        <v>0.444408865762746</v>
      </c>
      <c r="G1266" s="17" t="n">
        <f aca="false">IF(H1266=1,"",D1266/E1266*Notas!$B$3)</f>
        <v>42.2188422474609</v>
      </c>
      <c r="H1266" s="13" t="n">
        <v>0</v>
      </c>
      <c r="I1266" s="17" t="n">
        <f aca="false">IF(H1266=1,D1266,G1266)</f>
        <v>42.2188422474609</v>
      </c>
    </row>
    <row r="1267" customFormat="false" ht="15" hidden="false" customHeight="false" outlineLevel="0" collapsed="false">
      <c r="A1267" s="13" t="s">
        <v>247</v>
      </c>
      <c r="B1267" s="13" t="s">
        <v>30</v>
      </c>
      <c r="C1267" s="13" t="s">
        <v>54</v>
      </c>
      <c r="D1267" s="15" t="n">
        <v>1.96389</v>
      </c>
      <c r="E1267" s="13" t="n">
        <v>0.99935</v>
      </c>
      <c r="F1267" s="16" t="n">
        <f aca="false">IF(H1267=1,"",D1267/E1267)</f>
        <v>1.96516735878321</v>
      </c>
      <c r="G1267" s="17" t="n">
        <f aca="false">IF(H1267=1,"",D1267/E1267*Notas!$B$3)</f>
        <v>186.690899084405</v>
      </c>
      <c r="H1267" s="13" t="n">
        <v>0</v>
      </c>
      <c r="I1267" s="17" t="n">
        <f aca="false">IF(H1267=1,D1267,G1267)</f>
        <v>186.690899084405</v>
      </c>
    </row>
    <row r="1268" customFormat="false" ht="15" hidden="false" customHeight="false" outlineLevel="0" collapsed="false">
      <c r="A1268" s="13" t="s">
        <v>247</v>
      </c>
      <c r="B1268" s="13" t="s">
        <v>30</v>
      </c>
      <c r="C1268" s="13" t="s">
        <v>55</v>
      </c>
      <c r="D1268" s="15" t="n">
        <v>0.35697</v>
      </c>
      <c r="E1268" s="13" t="n">
        <v>0.99935</v>
      </c>
      <c r="F1268" s="16" t="n">
        <f aca="false">IF(H1268=1,"",D1268/E1268)</f>
        <v>0.357202181417922</v>
      </c>
      <c r="G1268" s="17" t="n">
        <f aca="false">IF(H1268=1,"",D1268/E1268*Notas!$B$3)</f>
        <v>33.9342072347026</v>
      </c>
      <c r="H1268" s="13" t="n">
        <v>0</v>
      </c>
      <c r="I1268" s="17" t="n">
        <f aca="false">IF(H1268=1,D1268,G1268)</f>
        <v>33.9342072347026</v>
      </c>
    </row>
    <row r="1269" customFormat="false" ht="15" hidden="false" customHeight="false" outlineLevel="0" collapsed="false">
      <c r="A1269" s="13" t="s">
        <v>247</v>
      </c>
      <c r="B1269" s="13" t="s">
        <v>30</v>
      </c>
      <c r="C1269" s="13" t="s">
        <v>56</v>
      </c>
      <c r="D1269" s="15" t="n">
        <v>0.4158</v>
      </c>
      <c r="E1269" s="13" t="n">
        <v>0.99935</v>
      </c>
      <c r="F1269" s="16" t="n">
        <f aca="false">IF(H1269=1,"",D1269/E1269)</f>
        <v>0.416070445789763</v>
      </c>
      <c r="G1269" s="17" t="n">
        <f aca="false">IF(H1269=1,"",D1269/E1269*Notas!$B$3)</f>
        <v>39.5266923500275</v>
      </c>
      <c r="H1269" s="13" t="n">
        <v>0</v>
      </c>
      <c r="I1269" s="17" t="n">
        <f aca="false">IF(H1269=1,D1269,G1269)</f>
        <v>39.5266923500275</v>
      </c>
    </row>
    <row r="1270" customFormat="false" ht="15" hidden="false" customHeight="false" outlineLevel="0" collapsed="false">
      <c r="A1270" s="13" t="s">
        <v>247</v>
      </c>
      <c r="B1270" s="13" t="s">
        <v>30</v>
      </c>
      <c r="C1270" s="13" t="s">
        <v>57</v>
      </c>
      <c r="D1270" s="15" t="n">
        <v>1.69751</v>
      </c>
      <c r="E1270" s="13" t="n">
        <v>0.99935</v>
      </c>
      <c r="F1270" s="16" t="n">
        <f aca="false">IF(H1270=1,"",D1270/E1270)</f>
        <v>1.69861409916446</v>
      </c>
      <c r="G1270" s="17" t="n">
        <f aca="false">IF(H1270=1,"",D1270/E1270*Notas!$B$3)</f>
        <v>161.368339420623</v>
      </c>
      <c r="H1270" s="13" t="n">
        <v>0</v>
      </c>
      <c r="I1270" s="17" t="n">
        <f aca="false">IF(H1270=1,D1270,G1270)</f>
        <v>161.368339420623</v>
      </c>
    </row>
    <row r="1271" customFormat="false" ht="15" hidden="false" customHeight="false" outlineLevel="0" collapsed="false">
      <c r="A1271" s="13" t="s">
        <v>247</v>
      </c>
      <c r="B1271" s="13" t="s">
        <v>58</v>
      </c>
      <c r="C1271" s="13" t="s">
        <v>59</v>
      </c>
      <c r="D1271" s="15" t="n">
        <v>0.72334</v>
      </c>
      <c r="E1271" s="13" t="n">
        <v>0.99935</v>
      </c>
      <c r="F1271" s="16" t="n">
        <f aca="false">IF(H1271=1,"",D1271/E1271)</f>
        <v>0.723810476809927</v>
      </c>
      <c r="G1271" s="17" t="n">
        <f aca="false">IF(H1271=1,"",D1271/E1271*Notas!$B$3)</f>
        <v>68.761995296943</v>
      </c>
      <c r="H1271" s="13" t="n">
        <v>0</v>
      </c>
      <c r="I1271" s="17" t="n">
        <f aca="false">IF(H1271=1,D1271,G1271)</f>
        <v>68.761995296943</v>
      </c>
    </row>
    <row r="1272" customFormat="false" ht="15" hidden="false" customHeight="false" outlineLevel="0" collapsed="false">
      <c r="A1272" s="13" t="s">
        <v>247</v>
      </c>
      <c r="B1272" s="13" t="s">
        <v>58</v>
      </c>
      <c r="C1272" s="13" t="s">
        <v>60</v>
      </c>
      <c r="D1272" s="15" t="n">
        <v>0.24629</v>
      </c>
      <c r="E1272" s="13" t="n">
        <v>0.99935</v>
      </c>
      <c r="F1272" s="16" t="n">
        <f aca="false">IF(H1272=1,"",D1272/E1272)</f>
        <v>0.246450192625206</v>
      </c>
      <c r="G1272" s="17" t="n">
        <f aca="false">IF(H1272=1,"",D1272/E1272*Notas!$B$3)</f>
        <v>23.4127682993946</v>
      </c>
      <c r="H1272" s="13" t="n">
        <v>0</v>
      </c>
      <c r="I1272" s="17" t="n">
        <f aca="false">IF(H1272=1,D1272,G1272)</f>
        <v>23.4127682993946</v>
      </c>
    </row>
    <row r="1273" customFormat="false" ht="15" hidden="false" customHeight="false" outlineLevel="0" collapsed="false">
      <c r="A1273" s="13" t="s">
        <v>247</v>
      </c>
      <c r="B1273" s="13" t="s">
        <v>58</v>
      </c>
      <c r="C1273" s="13" t="s">
        <v>61</v>
      </c>
      <c r="D1273" s="15" t="n">
        <v>0.72338</v>
      </c>
      <c r="E1273" s="13" t="n">
        <v>0.99935</v>
      </c>
      <c r="F1273" s="16" t="n">
        <f aca="false">IF(H1273=1,"",D1273/E1273)</f>
        <v>0.723850502826838</v>
      </c>
      <c r="G1273" s="17" t="n">
        <f aca="false">IF(H1273=1,"",D1273/E1273*Notas!$B$3)</f>
        <v>68.7657977685496</v>
      </c>
      <c r="H1273" s="13" t="n">
        <v>0</v>
      </c>
      <c r="I1273" s="17" t="n">
        <f aca="false">IF(H1273=1,D1273,G1273)</f>
        <v>68.7657977685496</v>
      </c>
    </row>
    <row r="1274" customFormat="false" ht="15" hidden="false" customHeight="false" outlineLevel="0" collapsed="false">
      <c r="A1274" s="13" t="s">
        <v>247</v>
      </c>
      <c r="B1274" s="13" t="s">
        <v>58</v>
      </c>
      <c r="C1274" s="13" t="s">
        <v>62</v>
      </c>
      <c r="D1274" s="15" t="n">
        <v>0.24629</v>
      </c>
      <c r="E1274" s="13" t="n">
        <v>0.99935</v>
      </c>
      <c r="F1274" s="16" t="n">
        <f aca="false">IF(H1274=1,"",D1274/E1274)</f>
        <v>0.246450192625206</v>
      </c>
      <c r="G1274" s="17" t="n">
        <f aca="false">IF(H1274=1,"",D1274/E1274*Notas!$B$3)</f>
        <v>23.4127682993946</v>
      </c>
      <c r="H1274" s="13" t="n">
        <v>0</v>
      </c>
      <c r="I1274" s="17" t="n">
        <f aca="false">IF(H1274=1,D1274,G1274)</f>
        <v>23.4127682993946</v>
      </c>
    </row>
    <row r="1275" customFormat="false" ht="15" hidden="false" customHeight="false" outlineLevel="0" collapsed="false">
      <c r="A1275" s="13" t="s">
        <v>247</v>
      </c>
      <c r="B1275" s="13" t="s">
        <v>63</v>
      </c>
      <c r="C1275" s="13" t="s">
        <v>64</v>
      </c>
      <c r="D1275" s="15" t="n">
        <v>0.5638</v>
      </c>
      <c r="E1275" s="13" t="n">
        <v>0.99935</v>
      </c>
      <c r="F1275" s="16" t="n">
        <f aca="false">IF(H1275=1,"",D1275/E1275)</f>
        <v>0.564166708360434</v>
      </c>
      <c r="G1275" s="17" t="n">
        <f aca="false">IF(H1275=1,"",D1275/E1275*Notas!$B$3)</f>
        <v>53.5958372942413</v>
      </c>
      <c r="H1275" s="13" t="n">
        <v>0</v>
      </c>
      <c r="I1275" s="17" t="n">
        <f aca="false">IF(H1275=1,D1275,G1275)</f>
        <v>53.5958372942413</v>
      </c>
    </row>
    <row r="1276" customFormat="false" ht="15" hidden="false" customHeight="false" outlineLevel="0" collapsed="false">
      <c r="A1276" s="13" t="s">
        <v>247</v>
      </c>
      <c r="B1276" s="13" t="s">
        <v>63</v>
      </c>
      <c r="C1276" s="13" t="s">
        <v>65</v>
      </c>
      <c r="D1276" s="15" t="n">
        <v>0.28981</v>
      </c>
      <c r="E1276" s="13" t="n">
        <v>0.99935</v>
      </c>
      <c r="F1276" s="16" t="n">
        <f aca="false">IF(H1276=1,"",D1276/E1276)</f>
        <v>0.289998499024366</v>
      </c>
      <c r="G1276" s="17" t="n">
        <f aca="false">IF(H1276=1,"",D1276/E1276*Notas!$B$3)</f>
        <v>27.5498574073148</v>
      </c>
      <c r="H1276" s="13" t="n">
        <v>0</v>
      </c>
      <c r="I1276" s="17" t="n">
        <f aca="false">IF(H1276=1,D1276,G1276)</f>
        <v>27.5498574073148</v>
      </c>
    </row>
    <row r="1277" customFormat="false" ht="15" hidden="false" customHeight="false" outlineLevel="0" collapsed="false">
      <c r="A1277" s="13" t="s">
        <v>247</v>
      </c>
      <c r="B1277" s="13" t="s">
        <v>63</v>
      </c>
      <c r="C1277" s="13" t="s">
        <v>66</v>
      </c>
      <c r="D1277" s="15" t="n">
        <v>0.27399</v>
      </c>
      <c r="E1277" s="13" t="n">
        <v>0.99935</v>
      </c>
      <c r="F1277" s="16" t="n">
        <f aca="false">IF(H1277=1,"",D1277/E1277)</f>
        <v>0.274168209336068</v>
      </c>
      <c r="G1277" s="17" t="n">
        <f aca="false">IF(H1277=1,"",D1277/E1277*Notas!$B$3)</f>
        <v>26.0459798869265</v>
      </c>
      <c r="H1277" s="13" t="n">
        <v>0</v>
      </c>
      <c r="I1277" s="17" t="n">
        <f aca="false">IF(H1277=1,D1277,G1277)</f>
        <v>26.0459798869265</v>
      </c>
    </row>
    <row r="1278" customFormat="false" ht="15" hidden="false" customHeight="false" outlineLevel="0" collapsed="false">
      <c r="A1278" s="13" t="s">
        <v>247</v>
      </c>
      <c r="B1278" s="13" t="s">
        <v>63</v>
      </c>
      <c r="C1278" s="13" t="s">
        <v>67</v>
      </c>
      <c r="D1278" s="15" t="n">
        <v>0.2672</v>
      </c>
      <c r="E1278" s="13" t="n">
        <v>0.99935</v>
      </c>
      <c r="F1278" s="16" t="n">
        <f aca="false">IF(H1278=1,"",D1278/E1278)</f>
        <v>0.267373792965428</v>
      </c>
      <c r="G1278" s="17" t="n">
        <f aca="false">IF(H1278=1,"",D1278/E1278*Notas!$B$3)</f>
        <v>25.4005103317156</v>
      </c>
      <c r="H1278" s="13" t="n">
        <v>0</v>
      </c>
      <c r="I1278" s="17" t="n">
        <f aca="false">IF(H1278=1,D1278,G1278)</f>
        <v>25.4005103317156</v>
      </c>
    </row>
    <row r="1279" customFormat="false" ht="15" hidden="false" customHeight="false" outlineLevel="0" collapsed="false">
      <c r="A1279" s="13" t="s">
        <v>247</v>
      </c>
      <c r="B1279" s="13" t="s">
        <v>63</v>
      </c>
      <c r="C1279" s="13" t="s">
        <v>68</v>
      </c>
      <c r="D1279" s="15" t="n">
        <v>0.21108</v>
      </c>
      <c r="E1279" s="13" t="n">
        <v>0.99935</v>
      </c>
      <c r="F1279" s="16" t="n">
        <f aca="false">IF(H1279=1,"",D1279/E1279)</f>
        <v>0.211217291239306</v>
      </c>
      <c r="G1279" s="17" t="n">
        <f aca="false">IF(H1279=1,"",D1279/E1279*Notas!$B$3)</f>
        <v>20.065642667734</v>
      </c>
      <c r="H1279" s="13" t="n">
        <v>0</v>
      </c>
      <c r="I1279" s="17" t="n">
        <f aca="false">IF(H1279=1,D1279,G1279)</f>
        <v>20.065642667734</v>
      </c>
    </row>
    <row r="1280" customFormat="false" ht="15" hidden="false" customHeight="false" outlineLevel="0" collapsed="false">
      <c r="A1280" s="13" t="s">
        <v>247</v>
      </c>
      <c r="B1280" s="13" t="s">
        <v>178</v>
      </c>
      <c r="C1280" s="13" t="s">
        <v>179</v>
      </c>
      <c r="D1280" s="15" t="n">
        <v>0.51109</v>
      </c>
      <c r="E1280" s="13" t="n">
        <v>0.99935</v>
      </c>
      <c r="F1280" s="16" t="n">
        <f aca="false">IF(H1280=1,"",D1280/E1280)</f>
        <v>0.511422424575974</v>
      </c>
      <c r="G1280" s="17" t="n">
        <f aca="false">IF(H1280=1,"",D1280/E1280*Notas!$B$3)</f>
        <v>48.5851303347176</v>
      </c>
      <c r="H1280" s="13" t="n">
        <v>0</v>
      </c>
      <c r="I1280" s="17" t="n">
        <f aca="false">IF(H1280=1,D1280,G1280)</f>
        <v>48.5851303347176</v>
      </c>
    </row>
    <row r="1281" customFormat="false" ht="15" hidden="false" customHeight="false" outlineLevel="0" collapsed="false">
      <c r="A1281" s="13" t="s">
        <v>247</v>
      </c>
      <c r="B1281" s="13" t="s">
        <v>178</v>
      </c>
      <c r="C1281" s="13" t="s">
        <v>180</v>
      </c>
      <c r="D1281" s="15" t="n">
        <v>0.28652</v>
      </c>
      <c r="E1281" s="13" t="n">
        <v>0.99935</v>
      </c>
      <c r="F1281" s="16" t="n">
        <f aca="false">IF(H1281=1,"",D1281/E1281)</f>
        <v>0.286706359133437</v>
      </c>
      <c r="G1281" s="17" t="n">
        <f aca="false">IF(H1281=1,"",D1281/E1281*Notas!$B$3)</f>
        <v>27.2371041176765</v>
      </c>
      <c r="H1281" s="13" t="n">
        <v>0</v>
      </c>
      <c r="I1281" s="17" t="n">
        <f aca="false">IF(H1281=1,D1281,G1281)</f>
        <v>27.2371041176765</v>
      </c>
    </row>
    <row r="1282" customFormat="false" ht="15" hidden="false" customHeight="false" outlineLevel="0" collapsed="false">
      <c r="A1282" s="13" t="s">
        <v>247</v>
      </c>
      <c r="B1282" s="13" t="s">
        <v>178</v>
      </c>
      <c r="C1282" s="13" t="s">
        <v>181</v>
      </c>
      <c r="D1282" s="15" t="n">
        <v>0.22457</v>
      </c>
      <c r="E1282" s="13" t="n">
        <v>0.99935</v>
      </c>
      <c r="F1282" s="16" t="n">
        <f aca="false">IF(H1282=1,"",D1282/E1282)</f>
        <v>0.224716065442538</v>
      </c>
      <c r="G1282" s="17" t="n">
        <f aca="false">IF(H1282=1,"",D1282/E1282*Notas!$B$3)</f>
        <v>21.3480262170411</v>
      </c>
      <c r="H1282" s="13" t="n">
        <v>0</v>
      </c>
      <c r="I1282" s="17" t="n">
        <f aca="false">IF(H1282=1,D1282,G1282)</f>
        <v>21.3480262170411</v>
      </c>
    </row>
    <row r="1283" customFormat="false" ht="15" hidden="false" customHeight="false" outlineLevel="0" collapsed="false">
      <c r="A1283" s="13" t="s">
        <v>247</v>
      </c>
      <c r="B1283" s="13" t="s">
        <v>178</v>
      </c>
      <c r="C1283" s="13" t="s">
        <v>73</v>
      </c>
      <c r="D1283" s="15" t="n">
        <v>0.13391</v>
      </c>
      <c r="E1283" s="13" t="n">
        <v>0.99935</v>
      </c>
      <c r="F1283" s="16" t="n">
        <f aca="false">IF(H1283=1,"",D1283/E1283)</f>
        <v>0.133997098113774</v>
      </c>
      <c r="G1283" s="17" t="n">
        <f aca="false">IF(H1283=1,"",D1283/E1283*Notas!$B$3)</f>
        <v>12.7297243208085</v>
      </c>
      <c r="H1283" s="13" t="n">
        <v>0</v>
      </c>
      <c r="I1283" s="17" t="n">
        <f aca="false">IF(H1283=1,D1283,G1283)</f>
        <v>12.7297243208085</v>
      </c>
    </row>
    <row r="1284" customFormat="false" ht="15" hidden="false" customHeight="false" outlineLevel="0" collapsed="false">
      <c r="A1284" s="13" t="s">
        <v>247</v>
      </c>
      <c r="B1284" s="13" t="s">
        <v>69</v>
      </c>
      <c r="C1284" s="13" t="s">
        <v>70</v>
      </c>
      <c r="D1284" s="15" t="n">
        <v>0.40548</v>
      </c>
      <c r="E1284" s="13" t="n">
        <v>0.99935</v>
      </c>
      <c r="F1284" s="16" t="n">
        <f aca="false">IF(H1284=1,"",D1284/E1284)</f>
        <v>0.405743733426727</v>
      </c>
      <c r="G1284" s="17" t="n">
        <f aca="false">IF(H1284=1,"",D1284/E1284*Notas!$B$3)</f>
        <v>38.5456546755391</v>
      </c>
      <c r="H1284" s="13" t="n">
        <v>0</v>
      </c>
      <c r="I1284" s="17" t="n">
        <f aca="false">IF(H1284=1,D1284,G1284)</f>
        <v>38.5456546755391</v>
      </c>
    </row>
    <row r="1285" customFormat="false" ht="15" hidden="false" customHeight="false" outlineLevel="0" collapsed="false">
      <c r="A1285" s="13" t="s">
        <v>247</v>
      </c>
      <c r="B1285" s="13" t="s">
        <v>69</v>
      </c>
      <c r="C1285" s="13" t="s">
        <v>71</v>
      </c>
      <c r="D1285" s="15" t="n">
        <v>0.07726</v>
      </c>
      <c r="E1285" s="13" t="n">
        <v>0.99935</v>
      </c>
      <c r="F1285" s="16" t="n">
        <f aca="false">IF(H1285=1,"",D1285/E1285)</f>
        <v>0.0773102516635813</v>
      </c>
      <c r="G1285" s="17" t="n">
        <f aca="false">IF(H1285=1,"",D1285/E1285*Notas!$B$3)</f>
        <v>7.34447390804023</v>
      </c>
      <c r="H1285" s="13" t="n">
        <v>0</v>
      </c>
      <c r="I1285" s="17" t="n">
        <f aca="false">IF(H1285=1,D1285,G1285)</f>
        <v>7.34447390804023</v>
      </c>
    </row>
    <row r="1286" customFormat="false" ht="15" hidden="false" customHeight="false" outlineLevel="0" collapsed="false">
      <c r="A1286" s="13" t="s">
        <v>247</v>
      </c>
      <c r="B1286" s="13" t="s">
        <v>69</v>
      </c>
      <c r="C1286" s="13" t="s">
        <v>72</v>
      </c>
      <c r="D1286" s="15" t="n">
        <v>0.32822</v>
      </c>
      <c r="E1286" s="13" t="n">
        <v>0.99935</v>
      </c>
      <c r="F1286" s="16" t="n">
        <f aca="false">IF(H1286=1,"",D1286/E1286)</f>
        <v>0.328433481763146</v>
      </c>
      <c r="G1286" s="17" t="n">
        <f aca="false">IF(H1286=1,"",D1286/E1286*Notas!$B$3)</f>
        <v>31.2011807674989</v>
      </c>
      <c r="H1286" s="13" t="n">
        <v>0</v>
      </c>
      <c r="I1286" s="17" t="n">
        <f aca="false">IF(H1286=1,D1286,G1286)</f>
        <v>31.2011807674989</v>
      </c>
    </row>
    <row r="1287" customFormat="false" ht="15" hidden="false" customHeight="false" outlineLevel="0" collapsed="false">
      <c r="A1287" s="13" t="s">
        <v>247</v>
      </c>
      <c r="B1287" s="13" t="s">
        <v>69</v>
      </c>
      <c r="C1287" s="13" t="s">
        <v>73</v>
      </c>
      <c r="D1287" s="15" t="n">
        <v>0.20932</v>
      </c>
      <c r="E1287" s="13" t="n">
        <v>0.99935</v>
      </c>
      <c r="F1287" s="16" t="n">
        <f aca="false">IF(H1287=1,"",D1287/E1287)</f>
        <v>0.209456146495222</v>
      </c>
      <c r="G1287" s="17" t="n">
        <f aca="false">IF(H1287=1,"",D1287/E1287*Notas!$B$3)</f>
        <v>19.8983339170461</v>
      </c>
      <c r="H1287" s="13" t="n">
        <v>0</v>
      </c>
      <c r="I1287" s="17" t="n">
        <f aca="false">IF(H1287=1,D1287,G1287)</f>
        <v>19.8983339170461</v>
      </c>
    </row>
    <row r="1288" customFormat="false" ht="15" hidden="false" customHeight="false" outlineLevel="0" collapsed="false">
      <c r="A1288" s="13" t="s">
        <v>247</v>
      </c>
      <c r="B1288" s="13" t="s">
        <v>69</v>
      </c>
      <c r="C1288" s="13" t="s">
        <v>74</v>
      </c>
      <c r="D1288" s="15" t="n">
        <v>0.17922</v>
      </c>
      <c r="E1288" s="13" t="n">
        <v>0.99935</v>
      </c>
      <c r="F1288" s="16" t="n">
        <f aca="false">IF(H1288=1,"",D1288/E1288)</f>
        <v>0.1793365687697</v>
      </c>
      <c r="G1288" s="17" t="n">
        <f aca="false">IF(H1288=1,"",D1288/E1288*Notas!$B$3)</f>
        <v>17.0369740331215</v>
      </c>
      <c r="H1288" s="13" t="n">
        <v>0</v>
      </c>
      <c r="I1288" s="17" t="n">
        <f aca="false">IF(H1288=1,D1288,G1288)</f>
        <v>17.0369740331215</v>
      </c>
    </row>
    <row r="1289" customFormat="false" ht="15" hidden="false" customHeight="false" outlineLevel="0" collapsed="false">
      <c r="A1289" s="13" t="s">
        <v>247</v>
      </c>
      <c r="B1289" s="13" t="s">
        <v>75</v>
      </c>
      <c r="C1289" s="13" t="s">
        <v>76</v>
      </c>
      <c r="D1289" s="15" t="n">
        <v>0.18086</v>
      </c>
      <c r="E1289" s="13" t="n">
        <v>0.99935</v>
      </c>
      <c r="F1289" s="16" t="n">
        <f aca="false">IF(H1289=1,"",D1289/E1289)</f>
        <v>0.180977635463051</v>
      </c>
      <c r="G1289" s="17" t="n">
        <f aca="false">IF(H1289=1,"",D1289/E1289*Notas!$B$3)</f>
        <v>17.1928753689898</v>
      </c>
      <c r="H1289" s="13" t="n">
        <v>0</v>
      </c>
      <c r="I1289" s="17" t="n">
        <f aca="false">IF(H1289=1,D1289,G1289)</f>
        <v>17.1928753689898</v>
      </c>
    </row>
    <row r="1290" customFormat="false" ht="15" hidden="false" customHeight="false" outlineLevel="0" collapsed="false">
      <c r="A1290" s="13" t="s">
        <v>247</v>
      </c>
      <c r="B1290" s="13" t="s">
        <v>75</v>
      </c>
      <c r="C1290" s="13" t="s">
        <v>77</v>
      </c>
      <c r="D1290" s="15" t="n">
        <v>0.18086</v>
      </c>
      <c r="E1290" s="13" t="n">
        <v>0.99935</v>
      </c>
      <c r="F1290" s="16" t="n">
        <f aca="false">IF(H1290=1,"",D1290/E1290)</f>
        <v>0.180977635463051</v>
      </c>
      <c r="G1290" s="17" t="n">
        <f aca="false">IF(H1290=1,"",D1290/E1290*Notas!$B$3)</f>
        <v>17.1928753689898</v>
      </c>
      <c r="H1290" s="13" t="n">
        <v>0</v>
      </c>
      <c r="I1290" s="17" t="n">
        <f aca="false">IF(H1290=1,D1290,G1290)</f>
        <v>17.1928753689898</v>
      </c>
    </row>
    <row r="1291" customFormat="false" ht="15" hidden="false" customHeight="false" outlineLevel="0" collapsed="false">
      <c r="A1291" s="13" t="s">
        <v>247</v>
      </c>
      <c r="B1291" s="13" t="s">
        <v>75</v>
      </c>
      <c r="C1291" s="13" t="s">
        <v>78</v>
      </c>
      <c r="D1291" s="15" t="n">
        <v>0.37878</v>
      </c>
      <c r="E1291" s="13" t="n">
        <v>0.99935</v>
      </c>
      <c r="F1291" s="16" t="n">
        <f aca="false">IF(H1291=1,"",D1291/E1291)</f>
        <v>0.37902636713864</v>
      </c>
      <c r="G1291" s="17" t="n">
        <f aca="false">IF(H1291=1,"",D1291/E1291*Notas!$B$3)</f>
        <v>36.0075048781708</v>
      </c>
      <c r="H1291" s="13" t="n">
        <v>0</v>
      </c>
      <c r="I1291" s="17" t="n">
        <f aca="false">IF(H1291=1,D1291,G1291)</f>
        <v>36.0075048781708</v>
      </c>
    </row>
    <row r="1292" customFormat="false" ht="15" hidden="false" customHeight="false" outlineLevel="0" collapsed="false">
      <c r="A1292" s="13" t="s">
        <v>247</v>
      </c>
      <c r="B1292" s="13" t="s">
        <v>35</v>
      </c>
      <c r="C1292" s="13" t="s">
        <v>79</v>
      </c>
      <c r="D1292" s="15" t="n">
        <v>18.0975</v>
      </c>
      <c r="E1292" s="13" t="n">
        <v>0.99935</v>
      </c>
      <c r="F1292" s="16" t="str">
        <f aca="false">IF(H1292=1,"",D1292/E1292)</f>
        <v/>
      </c>
      <c r="G1292" s="17" t="str">
        <f aca="false">IF(H1292=1,"",D1292/E1292*Notas!$B$3)</f>
        <v/>
      </c>
      <c r="H1292" s="13" t="n">
        <v>1</v>
      </c>
      <c r="I1292" s="17" t="n">
        <f aca="false">IF(H1292=1,D1292,G1292)</f>
        <v>18.0975</v>
      </c>
    </row>
    <row r="1293" customFormat="false" ht="15" hidden="false" customHeight="false" outlineLevel="0" collapsed="false">
      <c r="A1293" s="13" t="s">
        <v>247</v>
      </c>
      <c r="B1293" s="13" t="s">
        <v>35</v>
      </c>
      <c r="C1293" s="13" t="s">
        <v>80</v>
      </c>
      <c r="D1293" s="15" t="n">
        <v>37.9025</v>
      </c>
      <c r="E1293" s="13" t="n">
        <v>0.99935</v>
      </c>
      <c r="F1293" s="16" t="str">
        <f aca="false">IF(H1293=1,"",D1293/E1293)</f>
        <v/>
      </c>
      <c r="G1293" s="17" t="str">
        <f aca="false">IF(H1293=1,"",D1293/E1293*Notas!$B$3)</f>
        <v/>
      </c>
      <c r="H1293" s="13" t="n">
        <v>1</v>
      </c>
      <c r="I1293" s="17" t="n">
        <f aca="false">IF(H1293=1,D1293,G1293)</f>
        <v>37.9025</v>
      </c>
    </row>
    <row r="1294" customFormat="false" ht="15" hidden="false" customHeight="false" outlineLevel="0" collapsed="false">
      <c r="A1294" s="13" t="s">
        <v>247</v>
      </c>
      <c r="B1294" s="13" t="s">
        <v>75</v>
      </c>
      <c r="C1294" s="13" t="s">
        <v>81</v>
      </c>
      <c r="D1294" s="15" t="n">
        <v>0.09056</v>
      </c>
      <c r="E1294" s="13" t="n">
        <v>0.99935</v>
      </c>
      <c r="F1294" s="16" t="n">
        <f aca="false">IF(H1294=1,"",D1294/E1294)</f>
        <v>0.0906189022864862</v>
      </c>
      <c r="G1294" s="17" t="n">
        <f aca="false">IF(H1294=1,"",D1294/E1294*Notas!$B$3)</f>
        <v>8.60879571721619</v>
      </c>
      <c r="H1294" s="13" t="n">
        <v>0</v>
      </c>
      <c r="I1294" s="17" t="n">
        <f aca="false">IF(H1294=1,D1294,G1294)</f>
        <v>8.60879571721619</v>
      </c>
    </row>
    <row r="1295" customFormat="false" ht="15" hidden="false" customHeight="false" outlineLevel="0" collapsed="false">
      <c r="A1295" s="13" t="s">
        <v>247</v>
      </c>
      <c r="B1295" s="13" t="s">
        <v>75</v>
      </c>
      <c r="C1295" s="13" t="s">
        <v>82</v>
      </c>
      <c r="D1295" s="15" t="n">
        <v>0.13167</v>
      </c>
      <c r="E1295" s="13" t="n">
        <v>0.99935</v>
      </c>
      <c r="F1295" s="16" t="n">
        <f aca="false">IF(H1295=1,"",D1295/E1295)</f>
        <v>0.131755641166758</v>
      </c>
      <c r="G1295" s="17" t="n">
        <f aca="false">IF(H1295=1,"",D1295/E1295*Notas!$B$3)</f>
        <v>12.5167859108421</v>
      </c>
      <c r="H1295" s="13" t="n">
        <v>0</v>
      </c>
      <c r="I1295" s="17" t="n">
        <f aca="false">IF(H1295=1,D1295,G1295)</f>
        <v>12.5167859108421</v>
      </c>
    </row>
    <row r="1296" customFormat="false" ht="15" hidden="false" customHeight="false" outlineLevel="0" collapsed="false">
      <c r="A1296" s="13" t="s">
        <v>247</v>
      </c>
      <c r="B1296" s="13" t="s">
        <v>75</v>
      </c>
      <c r="C1296" s="13" t="s">
        <v>83</v>
      </c>
      <c r="D1296" s="15" t="n">
        <v>0.36898</v>
      </c>
      <c r="E1296" s="13" t="n">
        <v>0.99935</v>
      </c>
      <c r="F1296" s="16" t="n">
        <f aca="false">IF(H1296=1,"",D1296/E1296)</f>
        <v>0.369219992995447</v>
      </c>
      <c r="G1296" s="17" t="n">
        <f aca="false">IF(H1296=1,"",D1296/E1296*Notas!$B$3)</f>
        <v>35.0758993345675</v>
      </c>
      <c r="H1296" s="13" t="n">
        <v>0</v>
      </c>
      <c r="I1296" s="17" t="n">
        <f aca="false">IF(H1296=1,D1296,G1296)</f>
        <v>35.0758993345675</v>
      </c>
    </row>
    <row r="1297" customFormat="false" ht="15" hidden="false" customHeight="false" outlineLevel="0" collapsed="false">
      <c r="A1297" s="13" t="s">
        <v>247</v>
      </c>
      <c r="B1297" s="13" t="s">
        <v>75</v>
      </c>
      <c r="C1297" s="13" t="s">
        <v>84</v>
      </c>
      <c r="D1297" s="15" t="n">
        <v>0.08541</v>
      </c>
      <c r="E1297" s="13" t="n">
        <v>0.99935</v>
      </c>
      <c r="F1297" s="16" t="n">
        <f aca="false">IF(H1297=1,"",D1297/E1297)</f>
        <v>0.085465552609196</v>
      </c>
      <c r="G1297" s="17" t="n">
        <f aca="false">IF(H1297=1,"",D1297/E1297*Notas!$B$3)</f>
        <v>8.11922749787362</v>
      </c>
      <c r="H1297" s="13" t="n">
        <v>0</v>
      </c>
      <c r="I1297" s="17" t="n">
        <f aca="false">IF(H1297=1,D1297,G1297)</f>
        <v>8.11922749787362</v>
      </c>
    </row>
    <row r="1298" customFormat="false" ht="15" hidden="false" customHeight="false" outlineLevel="0" collapsed="false">
      <c r="A1298" s="13" t="s">
        <v>247</v>
      </c>
      <c r="B1298" s="13" t="s">
        <v>75</v>
      </c>
      <c r="C1298" s="13" t="s">
        <v>85</v>
      </c>
      <c r="D1298" s="15" t="n">
        <v>0.13224</v>
      </c>
      <c r="E1298" s="13" t="n">
        <v>0.99935</v>
      </c>
      <c r="F1298" s="16" t="n">
        <f aca="false">IF(H1298=1,"",D1298/E1298)</f>
        <v>0.13232601190774</v>
      </c>
      <c r="G1298" s="17" t="n">
        <f aca="false">IF(H1298=1,"",D1298/E1298*Notas!$B$3)</f>
        <v>12.5709711312353</v>
      </c>
      <c r="H1298" s="13" t="n">
        <v>0</v>
      </c>
      <c r="I1298" s="17" t="n">
        <f aca="false">IF(H1298=1,D1298,G1298)</f>
        <v>12.5709711312353</v>
      </c>
    </row>
    <row r="1299" customFormat="false" ht="15" hidden="false" customHeight="false" outlineLevel="0" collapsed="false">
      <c r="A1299" s="13" t="s">
        <v>247</v>
      </c>
      <c r="B1299" s="13" t="s">
        <v>75</v>
      </c>
      <c r="C1299" s="13" t="s">
        <v>86</v>
      </c>
      <c r="D1299" s="15" t="n">
        <v>0.36538</v>
      </c>
      <c r="E1299" s="13" t="n">
        <v>0.99935</v>
      </c>
      <c r="F1299" s="16" t="n">
        <f aca="false">IF(H1299=1,"",D1299/E1299)</f>
        <v>0.365617651473458</v>
      </c>
      <c r="G1299" s="17" t="n">
        <f aca="false">IF(H1299=1,"",D1299/E1299*Notas!$B$3)</f>
        <v>34.7336768899785</v>
      </c>
      <c r="H1299" s="13" t="n">
        <v>0</v>
      </c>
      <c r="I1299" s="17" t="n">
        <f aca="false">IF(H1299=1,D1299,G1299)</f>
        <v>34.7336768899785</v>
      </c>
    </row>
    <row r="1300" customFormat="false" ht="15" hidden="false" customHeight="false" outlineLevel="0" collapsed="false">
      <c r="A1300" s="13" t="s">
        <v>247</v>
      </c>
      <c r="B1300" s="13" t="s">
        <v>75</v>
      </c>
      <c r="C1300" s="13" t="s">
        <v>87</v>
      </c>
      <c r="D1300" s="15" t="n">
        <v>0.01666</v>
      </c>
      <c r="E1300" s="13" t="n">
        <v>0.99935</v>
      </c>
      <c r="F1300" s="16" t="n">
        <f aca="false">IF(H1300=1,"",D1300/E1300)</f>
        <v>0.0166708360434282</v>
      </c>
      <c r="G1300" s="17" t="n">
        <f aca="false">IF(H1300=1,"",D1300/E1300*Notas!$B$3)</f>
        <v>1.58372942412568</v>
      </c>
      <c r="H1300" s="13" t="n">
        <v>0</v>
      </c>
      <c r="I1300" s="17" t="n">
        <f aca="false">IF(H1300=1,D1300,G1300)</f>
        <v>1.58372942412568</v>
      </c>
    </row>
    <row r="1301" customFormat="false" ht="15" hidden="false" customHeight="false" outlineLevel="0" collapsed="false">
      <c r="A1301" s="13" t="s">
        <v>247</v>
      </c>
      <c r="B1301" s="13" t="s">
        <v>75</v>
      </c>
      <c r="C1301" s="13" t="s">
        <v>91</v>
      </c>
      <c r="D1301" s="15" t="n">
        <v>0.2092</v>
      </c>
      <c r="E1301" s="13" t="n">
        <v>0.99935</v>
      </c>
      <c r="F1301" s="16" t="n">
        <f aca="false">IF(H1301=1,"",D1301/E1301)</f>
        <v>0.209336068444489</v>
      </c>
      <c r="G1301" s="17" t="n">
        <f aca="false">IF(H1301=1,"",D1301/E1301*Notas!$B$3)</f>
        <v>19.8869265022264</v>
      </c>
      <c r="H1301" s="13" t="n">
        <v>0</v>
      </c>
      <c r="I1301" s="17" t="n">
        <f aca="false">IF(H1301=1,D1301,G1301)</f>
        <v>19.8869265022264</v>
      </c>
    </row>
    <row r="1302" customFormat="false" ht="15" hidden="false" customHeight="false" outlineLevel="0" collapsed="false">
      <c r="A1302" s="13" t="s">
        <v>247</v>
      </c>
      <c r="B1302" s="13" t="s">
        <v>75</v>
      </c>
      <c r="C1302" s="13" t="s">
        <v>92</v>
      </c>
      <c r="D1302" s="15" t="n">
        <v>0.16508</v>
      </c>
      <c r="E1302" s="13" t="n">
        <v>0.99935</v>
      </c>
      <c r="F1302" s="16" t="n">
        <f aca="false">IF(H1302=1,"",D1302/E1302)</f>
        <v>0.165187371791665</v>
      </c>
      <c r="G1302" s="17" t="n">
        <f aca="false">IF(H1302=1,"",D1302/E1302*Notas!$B$3)</f>
        <v>15.6928003202081</v>
      </c>
      <c r="H1302" s="13" t="n">
        <v>0</v>
      </c>
      <c r="I1302" s="17" t="n">
        <f aca="false">IF(H1302=1,D1302,G1302)</f>
        <v>15.6928003202081</v>
      </c>
    </row>
    <row r="1303" customFormat="false" ht="15" hidden="false" customHeight="false" outlineLevel="0" collapsed="false">
      <c r="A1303" s="13" t="s">
        <v>247</v>
      </c>
      <c r="B1303" s="13" t="s">
        <v>75</v>
      </c>
      <c r="C1303" s="13" t="s">
        <v>93</v>
      </c>
      <c r="D1303" s="15" t="n">
        <v>0.85506</v>
      </c>
      <c r="E1303" s="13" t="n">
        <v>0.99935</v>
      </c>
      <c r="F1303" s="16" t="n">
        <f aca="false">IF(H1303=1,"",D1303/E1303)</f>
        <v>0.855616150497824</v>
      </c>
      <c r="G1303" s="17" t="n">
        <f aca="false">IF(H1303=1,"",D1303/E1303*Notas!$B$3)</f>
        <v>81.2835342972932</v>
      </c>
      <c r="H1303" s="13" t="n">
        <v>0</v>
      </c>
      <c r="I1303" s="17" t="n">
        <f aca="false">IF(H1303=1,D1303,G1303)</f>
        <v>81.2835342972932</v>
      </c>
    </row>
    <row r="1304" customFormat="false" ht="15" hidden="false" customHeight="false" outlineLevel="0" collapsed="false">
      <c r="A1304" s="13" t="s">
        <v>247</v>
      </c>
      <c r="B1304" s="13" t="s">
        <v>75</v>
      </c>
      <c r="C1304" s="13" t="s">
        <v>95</v>
      </c>
      <c r="D1304" s="15" t="n">
        <v>0.10716</v>
      </c>
      <c r="E1304" s="13" t="n">
        <v>0.99935</v>
      </c>
      <c r="F1304" s="16" t="n">
        <f aca="false">IF(H1304=1,"",D1304/E1304)</f>
        <v>0.107229699304548</v>
      </c>
      <c r="G1304" s="17" t="n">
        <f aca="false">IF(H1304=1,"",D1304/E1304*Notas!$B$3)</f>
        <v>10.1868214339321</v>
      </c>
      <c r="H1304" s="13" t="n">
        <v>0</v>
      </c>
      <c r="I1304" s="17" t="n">
        <f aca="false">IF(H1304=1,D1304,G1304)</f>
        <v>10.1868214339321</v>
      </c>
    </row>
    <row r="1305" customFormat="false" ht="15" hidden="false" customHeight="false" outlineLevel="0" collapsed="false">
      <c r="A1305" s="13" t="s">
        <v>247</v>
      </c>
      <c r="B1305" s="13" t="s">
        <v>75</v>
      </c>
      <c r="C1305" s="13" t="s">
        <v>96</v>
      </c>
      <c r="D1305" s="15" t="n">
        <v>0.14546</v>
      </c>
      <c r="E1305" s="13" t="n">
        <v>0.99935</v>
      </c>
      <c r="F1305" s="16" t="n">
        <f aca="false">IF(H1305=1,"",D1305/E1305)</f>
        <v>0.145554610496823</v>
      </c>
      <c r="G1305" s="17" t="n">
        <f aca="false">IF(H1305=1,"",D1305/E1305*Notas!$B$3)</f>
        <v>13.8276879971982</v>
      </c>
      <c r="H1305" s="13" t="n">
        <v>0</v>
      </c>
      <c r="I1305" s="17" t="n">
        <f aca="false">IF(H1305=1,D1305,G1305)</f>
        <v>13.8276879971982</v>
      </c>
    </row>
    <row r="1306" customFormat="false" ht="15" hidden="false" customHeight="false" outlineLevel="0" collapsed="false">
      <c r="A1306" s="13" t="s">
        <v>247</v>
      </c>
      <c r="B1306" s="13" t="s">
        <v>75</v>
      </c>
      <c r="C1306" s="13" t="s">
        <v>97</v>
      </c>
      <c r="D1306" s="15" t="n">
        <v>0.4226</v>
      </c>
      <c r="E1306" s="13" t="n">
        <v>0.99935</v>
      </c>
      <c r="F1306" s="16" t="n">
        <f aca="false">IF(H1306=1,"",D1306/E1306)</f>
        <v>0.422874868664632</v>
      </c>
      <c r="G1306" s="17" t="n">
        <f aca="false">IF(H1306=1,"",D1306/E1306*Notas!$B$3)</f>
        <v>40.17311252314</v>
      </c>
      <c r="H1306" s="13" t="n">
        <v>0</v>
      </c>
      <c r="I1306" s="17" t="n">
        <f aca="false">IF(H1306=1,D1306,G1306)</f>
        <v>40.17311252314</v>
      </c>
    </row>
    <row r="1307" customFormat="false" ht="15" hidden="false" customHeight="false" outlineLevel="0" collapsed="false">
      <c r="A1307" s="13" t="s">
        <v>247</v>
      </c>
      <c r="B1307" s="13" t="s">
        <v>75</v>
      </c>
      <c r="C1307" s="13" t="s">
        <v>98</v>
      </c>
      <c r="D1307" s="15" t="n">
        <v>0.09692</v>
      </c>
      <c r="E1307" s="13" t="n">
        <v>0.99935</v>
      </c>
      <c r="F1307" s="16" t="n">
        <f aca="false">IF(H1307=1,"",D1307/E1307)</f>
        <v>0.096983038975334</v>
      </c>
      <c r="G1307" s="17" t="n">
        <f aca="false">IF(H1307=1,"",D1307/E1307*Notas!$B$3)</f>
        <v>9.21338870265673</v>
      </c>
      <c r="H1307" s="13" t="n">
        <v>0</v>
      </c>
      <c r="I1307" s="17" t="n">
        <f aca="false">IF(H1307=1,D1307,G1307)</f>
        <v>9.21338870265673</v>
      </c>
    </row>
    <row r="1308" customFormat="false" ht="15" hidden="false" customHeight="false" outlineLevel="0" collapsed="false">
      <c r="A1308" s="13" t="s">
        <v>247</v>
      </c>
      <c r="B1308" s="13" t="s">
        <v>75</v>
      </c>
      <c r="C1308" s="13" t="s">
        <v>99</v>
      </c>
      <c r="D1308" s="15" t="n">
        <v>0.13913</v>
      </c>
      <c r="E1308" s="13" t="n">
        <v>0.99935</v>
      </c>
      <c r="F1308" s="16" t="n">
        <f aca="false">IF(H1308=1,"",D1308/E1308)</f>
        <v>0.139220493320658</v>
      </c>
      <c r="G1308" s="17" t="n">
        <f aca="false">IF(H1308=1,"",D1308/E1308*Notas!$B$3)</f>
        <v>13.2259468654626</v>
      </c>
      <c r="H1308" s="13" t="n">
        <v>0</v>
      </c>
      <c r="I1308" s="17" t="n">
        <f aca="false">IF(H1308=1,D1308,G1308)</f>
        <v>13.2259468654626</v>
      </c>
    </row>
    <row r="1309" customFormat="false" ht="15" hidden="false" customHeight="false" outlineLevel="0" collapsed="false">
      <c r="A1309" s="13" t="s">
        <v>247</v>
      </c>
      <c r="B1309" s="13" t="s">
        <v>75</v>
      </c>
      <c r="C1309" s="13" t="s">
        <v>100</v>
      </c>
      <c r="D1309" s="15" t="n">
        <v>0.40524</v>
      </c>
      <c r="E1309" s="13" t="n">
        <v>0.99935</v>
      </c>
      <c r="F1309" s="16" t="n">
        <f aca="false">IF(H1309=1,"",D1309/E1309)</f>
        <v>0.405503577325261</v>
      </c>
      <c r="G1309" s="17" t="n">
        <f aca="false">IF(H1309=1,"",D1309/E1309*Notas!$B$3)</f>
        <v>38.5228398458998</v>
      </c>
      <c r="H1309" s="13" t="n">
        <v>0</v>
      </c>
      <c r="I1309" s="17" t="n">
        <f aca="false">IF(H1309=1,D1309,G1309)</f>
        <v>38.5228398458998</v>
      </c>
    </row>
    <row r="1310" customFormat="false" ht="15" hidden="false" customHeight="false" outlineLevel="0" collapsed="false">
      <c r="A1310" s="13" t="s">
        <v>247</v>
      </c>
      <c r="B1310" s="13" t="s">
        <v>75</v>
      </c>
      <c r="C1310" s="13" t="s">
        <v>101</v>
      </c>
      <c r="D1310" s="15" t="n">
        <v>0.0043</v>
      </c>
      <c r="E1310" s="13" t="n">
        <v>0.99935</v>
      </c>
      <c r="F1310" s="16" t="n">
        <f aca="false">IF(H1310=1,"",D1310/E1310)</f>
        <v>0.00430279681793166</v>
      </c>
      <c r="G1310" s="17" t="n">
        <f aca="false">IF(H1310=1,"",D1310/E1310*Notas!$B$3)</f>
        <v>0.408765697703507</v>
      </c>
      <c r="H1310" s="13" t="n">
        <v>0</v>
      </c>
      <c r="I1310" s="17" t="n">
        <f aca="false">IF(H1310=1,D1310,G1310)</f>
        <v>0.408765697703507</v>
      </c>
    </row>
    <row r="1311" customFormat="false" ht="15" hidden="false" customHeight="false" outlineLevel="0" collapsed="false">
      <c r="A1311" s="13" t="s">
        <v>247</v>
      </c>
      <c r="B1311" s="13" t="s">
        <v>102</v>
      </c>
      <c r="C1311" s="13" t="s">
        <v>103</v>
      </c>
      <c r="D1311" s="15" t="n">
        <v>0.228</v>
      </c>
      <c r="E1311" s="13" t="n">
        <v>0.99935</v>
      </c>
      <c r="F1311" s="16" t="n">
        <f aca="false">IF(H1311=1,"",D1311/E1311)</f>
        <v>0.228148296392655</v>
      </c>
      <c r="G1311" s="17" t="n">
        <f aca="false">IF(H1311=1,"",D1311/E1311*Notas!$B$3)</f>
        <v>21.6740881573022</v>
      </c>
      <c r="H1311" s="13" t="n">
        <v>0</v>
      </c>
      <c r="I1311" s="17" t="n">
        <f aca="false">IF(H1311=1,D1311,G1311)</f>
        <v>21.6740881573022</v>
      </c>
    </row>
    <row r="1312" customFormat="false" ht="15" hidden="false" customHeight="false" outlineLevel="0" collapsed="false">
      <c r="A1312" s="13" t="s">
        <v>247</v>
      </c>
      <c r="B1312" s="13" t="s">
        <v>102</v>
      </c>
      <c r="C1312" s="13" t="s">
        <v>104</v>
      </c>
      <c r="D1312" s="15" t="n">
        <v>0.11034</v>
      </c>
      <c r="E1312" s="13" t="n">
        <v>0.99935</v>
      </c>
      <c r="F1312" s="16" t="n">
        <f aca="false">IF(H1312=1,"",D1312/E1312)</f>
        <v>0.110411767648972</v>
      </c>
      <c r="G1312" s="17" t="n">
        <f aca="false">IF(H1312=1,"",D1312/E1312*Notas!$B$3)</f>
        <v>10.4891179266523</v>
      </c>
      <c r="H1312" s="13" t="n">
        <v>0</v>
      </c>
      <c r="I1312" s="17" t="n">
        <f aca="false">IF(H1312=1,D1312,G1312)</f>
        <v>10.4891179266523</v>
      </c>
    </row>
    <row r="1313" customFormat="false" ht="15" hidden="false" customHeight="false" outlineLevel="0" collapsed="false">
      <c r="A1313" s="13" t="s">
        <v>247</v>
      </c>
      <c r="B1313" s="13" t="s">
        <v>102</v>
      </c>
      <c r="C1313" s="13" t="s">
        <v>105</v>
      </c>
      <c r="D1313" s="15" t="n">
        <v>0.12534</v>
      </c>
      <c r="E1313" s="13" t="n">
        <v>0.99935</v>
      </c>
      <c r="F1313" s="16" t="n">
        <f aca="false">IF(H1313=1,"",D1313/E1313)</f>
        <v>0.125421523990594</v>
      </c>
      <c r="G1313" s="17" t="n">
        <f aca="false">IF(H1313=1,"",D1313/E1313*Notas!$B$3)</f>
        <v>11.9150447791064</v>
      </c>
      <c r="H1313" s="13" t="n">
        <v>0</v>
      </c>
      <c r="I1313" s="17" t="n">
        <f aca="false">IF(H1313=1,D1313,G1313)</f>
        <v>11.9150447791064</v>
      </c>
    </row>
    <row r="1314" customFormat="false" ht="15" hidden="false" customHeight="false" outlineLevel="0" collapsed="false">
      <c r="A1314" s="13" t="s">
        <v>247</v>
      </c>
      <c r="B1314" s="13" t="s">
        <v>102</v>
      </c>
      <c r="C1314" s="13" t="s">
        <v>106</v>
      </c>
      <c r="D1314" s="15" t="n">
        <v>-0.0523</v>
      </c>
      <c r="E1314" s="13" t="n">
        <v>0.99935</v>
      </c>
      <c r="F1314" s="16" t="n">
        <f aca="false">IF(H1314=1,"",D1314/E1314)</f>
        <v>-0.0523340171111222</v>
      </c>
      <c r="G1314" s="17" t="n">
        <f aca="false">IF(H1314=1,"",D1314/E1314*Notas!$B$3)</f>
        <v>-4.97173162555661</v>
      </c>
      <c r="H1314" s="13" t="n">
        <v>0</v>
      </c>
      <c r="I1314" s="17" t="n">
        <f aca="false">IF(H1314=1,D1314,G1314)</f>
        <v>-4.97173162555661</v>
      </c>
    </row>
    <row r="1315" customFormat="false" ht="15" hidden="false" customHeight="false" outlineLevel="0" collapsed="false">
      <c r="A1315" s="13" t="s">
        <v>247</v>
      </c>
      <c r="B1315" s="13" t="s">
        <v>102</v>
      </c>
      <c r="C1315" s="13" t="s">
        <v>107</v>
      </c>
      <c r="D1315" s="15" t="n">
        <v>0.2228</v>
      </c>
      <c r="E1315" s="13" t="n">
        <v>0.99935</v>
      </c>
      <c r="F1315" s="16" t="n">
        <f aca="false">IF(H1315=1,"",D1315/E1315)</f>
        <v>0.222944914194226</v>
      </c>
      <c r="G1315" s="17" t="n">
        <f aca="false">IF(H1315=1,"",D1315/E1315*Notas!$B$3)</f>
        <v>21.1797668484515</v>
      </c>
      <c r="H1315" s="13" t="n">
        <v>0</v>
      </c>
      <c r="I1315" s="17" t="n">
        <f aca="false">IF(H1315=1,D1315,G1315)</f>
        <v>21.1797668484515</v>
      </c>
    </row>
    <row r="1316" customFormat="false" ht="15" hidden="false" customHeight="false" outlineLevel="0" collapsed="false">
      <c r="A1316" s="13" t="s">
        <v>247</v>
      </c>
      <c r="B1316" s="13" t="s">
        <v>102</v>
      </c>
      <c r="C1316" s="13" t="s">
        <v>108</v>
      </c>
      <c r="D1316" s="15" t="n">
        <v>0.11993</v>
      </c>
      <c r="E1316" s="13" t="n">
        <v>0.99935</v>
      </c>
      <c r="F1316" s="16" t="n">
        <f aca="false">IF(H1316=1,"",D1316/E1316)</f>
        <v>0.120008005203382</v>
      </c>
      <c r="G1316" s="17" t="n">
        <f aca="false">IF(H1316=1,"",D1316/E1316*Notas!$B$3)</f>
        <v>11.4007604943213</v>
      </c>
      <c r="H1316" s="13" t="n">
        <v>0</v>
      </c>
      <c r="I1316" s="17" t="n">
        <f aca="false">IF(H1316=1,D1316,G1316)</f>
        <v>11.4007604943213</v>
      </c>
    </row>
    <row r="1317" customFormat="false" ht="15" hidden="false" customHeight="false" outlineLevel="0" collapsed="false">
      <c r="A1317" s="13" t="s">
        <v>247</v>
      </c>
      <c r="B1317" s="13" t="s">
        <v>102</v>
      </c>
      <c r="C1317" s="13" t="s">
        <v>109</v>
      </c>
      <c r="D1317" s="15" t="n">
        <v>0.12921</v>
      </c>
      <c r="E1317" s="13" t="n">
        <v>0.99935</v>
      </c>
      <c r="F1317" s="16" t="n">
        <f aca="false">IF(H1317=1,"",D1317/E1317)</f>
        <v>0.129294041126732</v>
      </c>
      <c r="G1317" s="17" t="n">
        <f aca="false">IF(H1317=1,"",D1317/E1317*Notas!$B$3)</f>
        <v>12.2829339070396</v>
      </c>
      <c r="H1317" s="13" t="n">
        <v>0</v>
      </c>
      <c r="I1317" s="17" t="n">
        <f aca="false">IF(H1317=1,D1317,G1317)</f>
        <v>12.2829339070396</v>
      </c>
    </row>
    <row r="1318" customFormat="false" ht="15" hidden="false" customHeight="false" outlineLevel="0" collapsed="false">
      <c r="A1318" s="13" t="s">
        <v>247</v>
      </c>
      <c r="B1318" s="13" t="s">
        <v>102</v>
      </c>
      <c r="C1318" s="13" t="s">
        <v>110</v>
      </c>
      <c r="D1318" s="15" t="n">
        <v>0.05736</v>
      </c>
      <c r="E1318" s="13" t="n">
        <v>0.99935</v>
      </c>
      <c r="F1318" s="16" t="n">
        <f aca="false">IF(H1318=1,"",D1318/E1318)</f>
        <v>0.0573973082503627</v>
      </c>
      <c r="G1318" s="17" t="n">
        <f aca="false">IF(H1318=1,"",D1318/E1318*Notas!$B$3)</f>
        <v>5.45274428378446</v>
      </c>
      <c r="H1318" s="13" t="n">
        <v>0</v>
      </c>
      <c r="I1318" s="17" t="n">
        <f aca="false">IF(H1318=1,D1318,G1318)</f>
        <v>5.45274428378446</v>
      </c>
    </row>
    <row r="1319" customFormat="false" ht="15" hidden="false" customHeight="false" outlineLevel="0" collapsed="false">
      <c r="A1319" s="13" t="s">
        <v>247</v>
      </c>
      <c r="B1319" s="13" t="s">
        <v>102</v>
      </c>
      <c r="C1319" s="13" t="s">
        <v>111</v>
      </c>
      <c r="D1319" s="15" t="n">
        <v>0.22479</v>
      </c>
      <c r="E1319" s="13" t="n">
        <v>0.99935</v>
      </c>
      <c r="F1319" s="16" t="n">
        <f aca="false">IF(H1319=1,"",D1319/E1319)</f>
        <v>0.224936208535548</v>
      </c>
      <c r="G1319" s="17" t="n">
        <f aca="false">IF(H1319=1,"",D1319/E1319*Notas!$B$3)</f>
        <v>21.3689398108771</v>
      </c>
      <c r="H1319" s="13" t="n">
        <v>0</v>
      </c>
      <c r="I1319" s="17" t="n">
        <f aca="false">IF(H1319=1,D1319,G1319)</f>
        <v>21.3689398108771</v>
      </c>
    </row>
    <row r="1320" customFormat="false" ht="15" hidden="false" customHeight="false" outlineLevel="0" collapsed="false">
      <c r="A1320" s="13" t="s">
        <v>247</v>
      </c>
      <c r="B1320" s="13" t="s">
        <v>102</v>
      </c>
      <c r="C1320" s="13" t="s">
        <v>112</v>
      </c>
      <c r="D1320" s="15" t="n">
        <v>0.12921</v>
      </c>
      <c r="E1320" s="13" t="n">
        <v>0.99935</v>
      </c>
      <c r="F1320" s="16" t="n">
        <f aca="false">IF(H1320=1,"",D1320/E1320)</f>
        <v>0.129294041126732</v>
      </c>
      <c r="G1320" s="17" t="n">
        <f aca="false">IF(H1320=1,"",D1320/E1320*Notas!$B$3)</f>
        <v>12.2829339070396</v>
      </c>
      <c r="H1320" s="13" t="n">
        <v>0</v>
      </c>
      <c r="I1320" s="17" t="n">
        <f aca="false">IF(H1320=1,D1320,G1320)</f>
        <v>12.2829339070396</v>
      </c>
    </row>
    <row r="1321" customFormat="false" ht="15" hidden="false" customHeight="false" outlineLevel="0" collapsed="false">
      <c r="A1321" s="13" t="s">
        <v>247</v>
      </c>
      <c r="B1321" s="13" t="s">
        <v>17</v>
      </c>
      <c r="C1321" s="13" t="s">
        <v>113</v>
      </c>
      <c r="D1321" s="15" t="n">
        <v>0</v>
      </c>
      <c r="E1321" s="13" t="n">
        <v>0.99935</v>
      </c>
      <c r="F1321" s="16" t="str">
        <f aca="false">IF(H1321=1,"",D1321/E1321)</f>
        <v/>
      </c>
      <c r="G1321" s="17" t="str">
        <f aca="false">IF(H1321=1,"",D1321/E1321*Notas!$B$3)</f>
        <v/>
      </c>
      <c r="H1321" s="13" t="n">
        <v>1</v>
      </c>
      <c r="I1321" s="17" t="n">
        <f aca="false">IF(H1321=1,D1321,G1321)</f>
        <v>0</v>
      </c>
    </row>
    <row r="1322" customFormat="false" ht="15" hidden="false" customHeight="false" outlineLevel="0" collapsed="false">
      <c r="A1322" s="13" t="s">
        <v>247</v>
      </c>
      <c r="B1322" s="13" t="s">
        <v>114</v>
      </c>
      <c r="C1322" s="13" t="s">
        <v>115</v>
      </c>
      <c r="D1322" s="15" t="n">
        <v>0.48388</v>
      </c>
      <c r="E1322" s="13" t="n">
        <v>0.99935</v>
      </c>
      <c r="F1322" s="16" t="n">
        <f aca="false">IF(H1322=1,"",D1322/E1322)</f>
        <v>0.484194726572272</v>
      </c>
      <c r="G1322" s="17" t="n">
        <f aca="false">IF(H1322=1,"",D1322/E1322*Notas!$B$3)</f>
        <v>45.9984990243658</v>
      </c>
      <c r="H1322" s="13" t="n">
        <v>0</v>
      </c>
      <c r="I1322" s="17" t="n">
        <f aca="false">IF(H1322=1,D1322,G1322)</f>
        <v>45.9984990243658</v>
      </c>
    </row>
    <row r="1323" customFormat="false" ht="15" hidden="false" customHeight="false" outlineLevel="0" collapsed="false">
      <c r="A1323" s="13" t="s">
        <v>247</v>
      </c>
      <c r="B1323" s="13" t="s">
        <v>114</v>
      </c>
      <c r="C1323" s="13" t="s">
        <v>116</v>
      </c>
      <c r="D1323" s="15" t="n">
        <v>0.27727</v>
      </c>
      <c r="E1323" s="13" t="n">
        <v>0.99935</v>
      </c>
      <c r="F1323" s="16" t="n">
        <f aca="false">IF(H1323=1,"",D1323/E1323)</f>
        <v>0.27745034272277</v>
      </c>
      <c r="G1323" s="17" t="n">
        <f aca="false">IF(H1323=1,"",D1323/E1323*Notas!$B$3)</f>
        <v>26.3577825586631</v>
      </c>
      <c r="H1323" s="13" t="n">
        <v>0</v>
      </c>
      <c r="I1323" s="17" t="n">
        <f aca="false">IF(H1323=1,D1323,G1323)</f>
        <v>26.3577825586631</v>
      </c>
    </row>
    <row r="1324" customFormat="false" ht="15" hidden="false" customHeight="false" outlineLevel="0" collapsed="false">
      <c r="A1324" s="13" t="s">
        <v>247</v>
      </c>
      <c r="B1324" s="13" t="s">
        <v>114</v>
      </c>
      <c r="C1324" s="13" t="s">
        <v>117</v>
      </c>
      <c r="D1324" s="15" t="n">
        <v>0.17708</v>
      </c>
      <c r="E1324" s="13" t="n">
        <v>0.99935</v>
      </c>
      <c r="F1324" s="16" t="n">
        <f aca="false">IF(H1324=1,"",D1324/E1324)</f>
        <v>0.177195176864962</v>
      </c>
      <c r="G1324" s="17" t="n">
        <f aca="false">IF(H1324=1,"",D1324/E1324*Notas!$B$3)</f>
        <v>16.8335418021714</v>
      </c>
      <c r="H1324" s="13" t="n">
        <v>0</v>
      </c>
      <c r="I1324" s="17" t="n">
        <f aca="false">IF(H1324=1,D1324,G1324)</f>
        <v>16.8335418021714</v>
      </c>
    </row>
    <row r="1325" customFormat="false" ht="15" hidden="false" customHeight="false" outlineLevel="0" collapsed="false">
      <c r="A1325" s="13" t="s">
        <v>247</v>
      </c>
      <c r="B1325" s="13" t="s">
        <v>114</v>
      </c>
      <c r="C1325" s="13" t="s">
        <v>118</v>
      </c>
      <c r="D1325" s="15" t="n">
        <v>0.76285</v>
      </c>
      <c r="E1325" s="13" t="n">
        <v>0.99935</v>
      </c>
      <c r="F1325" s="16" t="n">
        <f aca="false">IF(H1325=1,"",D1325/E1325)</f>
        <v>0.763346175013759</v>
      </c>
      <c r="G1325" s="17" t="n">
        <f aca="false">IF(H1325=1,"",D1325/E1325*Notas!$B$3)</f>
        <v>72.5178866263071</v>
      </c>
      <c r="H1325" s="13" t="n">
        <v>0</v>
      </c>
      <c r="I1325" s="17" t="n">
        <f aca="false">IF(H1325=1,D1325,G1325)</f>
        <v>72.5178866263071</v>
      </c>
    </row>
    <row r="1326" customFormat="false" ht="15" hidden="false" customHeight="false" outlineLevel="0" collapsed="false">
      <c r="A1326" s="13" t="s">
        <v>247</v>
      </c>
      <c r="B1326" s="13" t="s">
        <v>114</v>
      </c>
      <c r="C1326" s="13" t="s">
        <v>119</v>
      </c>
      <c r="D1326" s="15" t="n">
        <v>0.27727</v>
      </c>
      <c r="E1326" s="13" t="n">
        <v>0.99935</v>
      </c>
      <c r="F1326" s="16" t="n">
        <f aca="false">IF(H1326=1,"",D1326/E1326)</f>
        <v>0.27745034272277</v>
      </c>
      <c r="G1326" s="17" t="n">
        <f aca="false">IF(H1326=1,"",D1326/E1326*Notas!$B$3)</f>
        <v>26.3577825586631</v>
      </c>
      <c r="H1326" s="13" t="n">
        <v>0</v>
      </c>
      <c r="I1326" s="17" t="n">
        <f aca="false">IF(H1326=1,D1326,G1326)</f>
        <v>26.3577825586631</v>
      </c>
    </row>
    <row r="1327" customFormat="false" ht="15" hidden="false" customHeight="false" outlineLevel="0" collapsed="false">
      <c r="A1327" s="13" t="s">
        <v>247</v>
      </c>
      <c r="B1327" s="13" t="s">
        <v>114</v>
      </c>
      <c r="C1327" s="13" t="s">
        <v>120</v>
      </c>
      <c r="D1327" s="15" t="n">
        <v>1</v>
      </c>
      <c r="E1327" s="13" t="n">
        <v>0.99935</v>
      </c>
      <c r="F1327" s="16" t="str">
        <f aca="false">IF(H1327=1,"",D1327/E1327)</f>
        <v/>
      </c>
      <c r="G1327" s="17" t="str">
        <f aca="false">IF(H1327=1,"",D1327/E1327*Notas!$B$3)</f>
        <v/>
      </c>
      <c r="H1327" s="13" t="n">
        <v>1</v>
      </c>
      <c r="I1327" s="17" t="n">
        <f aca="false">IF(H1327=1,D1327,G1327)</f>
        <v>1</v>
      </c>
    </row>
    <row r="1328" customFormat="false" ht="15" hidden="false" customHeight="false" outlineLevel="0" collapsed="false">
      <c r="A1328" s="13" t="s">
        <v>247</v>
      </c>
      <c r="B1328" s="13" t="s">
        <v>114</v>
      </c>
      <c r="C1328" s="13" t="s">
        <v>121</v>
      </c>
      <c r="D1328" s="15" t="n">
        <v>0.28981</v>
      </c>
      <c r="E1328" s="13" t="n">
        <v>0.99935</v>
      </c>
      <c r="F1328" s="16" t="n">
        <f aca="false">IF(H1328=1,"",D1328/E1328)</f>
        <v>0.289998499024366</v>
      </c>
      <c r="G1328" s="17" t="n">
        <f aca="false">IF(H1328=1,"",D1328/E1328*Notas!$B$3)</f>
        <v>27.5498574073148</v>
      </c>
      <c r="H1328" s="13" t="n">
        <v>0</v>
      </c>
      <c r="I1328" s="17" t="n">
        <f aca="false">IF(H1328=1,D1328,G1328)</f>
        <v>27.5498574073148</v>
      </c>
    </row>
    <row r="1329" customFormat="false" ht="15" hidden="false" customHeight="false" outlineLevel="0" collapsed="false">
      <c r="A1329" s="13" t="s">
        <v>247</v>
      </c>
      <c r="B1329" s="13" t="s">
        <v>114</v>
      </c>
      <c r="C1329" s="13" t="s">
        <v>122</v>
      </c>
      <c r="D1329" s="15" t="n">
        <v>0.02641</v>
      </c>
      <c r="E1329" s="13" t="n">
        <v>0.99935</v>
      </c>
      <c r="F1329" s="16" t="n">
        <f aca="false">IF(H1329=1,"",D1329/E1329)</f>
        <v>0.0264271776654826</v>
      </c>
      <c r="G1329" s="17" t="n">
        <f aca="false">IF(H1329=1,"",D1329/E1329*Notas!$B$3)</f>
        <v>2.51058187822084</v>
      </c>
      <c r="H1329" s="13" t="n">
        <v>0</v>
      </c>
      <c r="I1329" s="17" t="n">
        <f aca="false">IF(H1329=1,D1329,G1329)</f>
        <v>2.51058187822084</v>
      </c>
    </row>
    <row r="1330" customFormat="false" ht="15" hidden="false" customHeight="false" outlineLevel="0" collapsed="false">
      <c r="A1330" s="13" t="s">
        <v>247</v>
      </c>
      <c r="B1330" s="13" t="s">
        <v>114</v>
      </c>
      <c r="C1330" s="13" t="s">
        <v>123</v>
      </c>
      <c r="D1330" s="15" t="n">
        <v>0.02291</v>
      </c>
      <c r="E1330" s="13" t="n">
        <v>0.99935</v>
      </c>
      <c r="F1330" s="16" t="n">
        <f aca="false">IF(H1330=1,"",D1330/E1330)</f>
        <v>0.0229249011857708</v>
      </c>
      <c r="G1330" s="17" t="n">
        <f aca="false">IF(H1330=1,"",D1330/E1330*Notas!$B$3)</f>
        <v>2.17786561264822</v>
      </c>
      <c r="H1330" s="13" t="n">
        <v>0</v>
      </c>
      <c r="I1330" s="17" t="n">
        <f aca="false">IF(H1330=1,D1330,G1330)</f>
        <v>2.17786561264822</v>
      </c>
    </row>
    <row r="1331" customFormat="false" ht="15" hidden="false" customHeight="false" outlineLevel="0" collapsed="false">
      <c r="A1331" s="13" t="s">
        <v>247</v>
      </c>
      <c r="B1331" s="13" t="s">
        <v>114</v>
      </c>
      <c r="C1331" s="13" t="s">
        <v>124</v>
      </c>
      <c r="D1331" s="15" t="n">
        <v>0.07888</v>
      </c>
      <c r="E1331" s="13" t="n">
        <v>0.99935</v>
      </c>
      <c r="F1331" s="16" t="n">
        <f aca="false">IF(H1331=1,"",D1331/E1331)</f>
        <v>0.0789313053484765</v>
      </c>
      <c r="G1331" s="17" t="n">
        <f aca="false">IF(H1331=1,"",D1331/E1331*Notas!$B$3)</f>
        <v>7.49847400810527</v>
      </c>
      <c r="H1331" s="13" t="n">
        <v>0</v>
      </c>
      <c r="I1331" s="17" t="n">
        <f aca="false">IF(H1331=1,D1331,G1331)</f>
        <v>7.49847400810527</v>
      </c>
    </row>
    <row r="1332" customFormat="false" ht="15" hidden="false" customHeight="false" outlineLevel="0" collapsed="false">
      <c r="A1332" s="13" t="s">
        <v>247</v>
      </c>
      <c r="B1332" s="13" t="s">
        <v>114</v>
      </c>
      <c r="C1332" s="13" t="s">
        <v>125</v>
      </c>
      <c r="D1332" s="15" t="n">
        <v>0.36988</v>
      </c>
      <c r="E1332" s="13" t="n">
        <v>0.99935</v>
      </c>
      <c r="F1332" s="16" t="n">
        <f aca="false">IF(H1332=1,"",D1332/E1332)</f>
        <v>0.370120578375944</v>
      </c>
      <c r="G1332" s="17" t="n">
        <f aca="false">IF(H1332=1,"",D1332/E1332*Notas!$B$3)</f>
        <v>35.1614549457147</v>
      </c>
      <c r="H1332" s="13" t="n">
        <v>0</v>
      </c>
      <c r="I1332" s="17" t="n">
        <f aca="false">IF(H1332=1,D1332,G1332)</f>
        <v>35.1614549457147</v>
      </c>
    </row>
    <row r="1333" customFormat="false" ht="15" hidden="false" customHeight="false" outlineLevel="0" collapsed="false">
      <c r="A1333" s="13" t="s">
        <v>247</v>
      </c>
      <c r="B1333" s="13" t="s">
        <v>114</v>
      </c>
      <c r="C1333" s="13" t="s">
        <v>126</v>
      </c>
      <c r="D1333" s="15" t="n">
        <v>4</v>
      </c>
      <c r="E1333" s="13" t="n">
        <v>0.99935</v>
      </c>
      <c r="F1333" s="16" t="str">
        <f aca="false">IF(H1333=1,"",D1333/E1333)</f>
        <v/>
      </c>
      <c r="G1333" s="17" t="str">
        <f aca="false">IF(H1333=1,"",D1333/E1333*Notas!$B$3)</f>
        <v/>
      </c>
      <c r="H1333" s="13" t="n">
        <v>1</v>
      </c>
      <c r="I1333" s="17" t="n">
        <f aca="false">IF(H1333=1,D1333,G1333)</f>
        <v>4</v>
      </c>
    </row>
    <row r="1334" customFormat="false" ht="15" hidden="false" customHeight="false" outlineLevel="0" collapsed="false">
      <c r="A1334" s="13" t="s">
        <v>247</v>
      </c>
      <c r="B1334" s="13" t="s">
        <v>114</v>
      </c>
      <c r="C1334" s="13" t="s">
        <v>127</v>
      </c>
      <c r="D1334" s="15" t="n">
        <v>0.23533</v>
      </c>
      <c r="E1334" s="13" t="n">
        <v>0.99935</v>
      </c>
      <c r="F1334" s="16" t="n">
        <f aca="false">IF(H1334=1,"",D1334/E1334)</f>
        <v>0.235483063991595</v>
      </c>
      <c r="G1334" s="17" t="n">
        <f aca="false">IF(H1334=1,"",D1334/E1334*Notas!$B$3)</f>
        <v>22.3708910792015</v>
      </c>
      <c r="H1334" s="13" t="n">
        <v>0</v>
      </c>
      <c r="I1334" s="17" t="n">
        <f aca="false">IF(H1334=1,D1334,G1334)</f>
        <v>22.3708910792015</v>
      </c>
    </row>
    <row r="1335" customFormat="false" ht="15" hidden="false" customHeight="false" outlineLevel="0" collapsed="false">
      <c r="A1335" s="13" t="s">
        <v>247</v>
      </c>
      <c r="B1335" s="13" t="s">
        <v>114</v>
      </c>
      <c r="C1335" s="13" t="s">
        <v>128</v>
      </c>
      <c r="D1335" s="15" t="n">
        <v>0.09323</v>
      </c>
      <c r="E1335" s="13" t="n">
        <v>0.99935</v>
      </c>
      <c r="F1335" s="16" t="n">
        <f aca="false">IF(H1335=1,"",D1335/E1335)</f>
        <v>0.0932906389152949</v>
      </c>
      <c r="G1335" s="17" t="n">
        <f aca="false">IF(H1335=1,"",D1335/E1335*Notas!$B$3)</f>
        <v>8.86261069695302</v>
      </c>
      <c r="H1335" s="13" t="n">
        <v>0</v>
      </c>
      <c r="I1335" s="17" t="n">
        <f aca="false">IF(H1335=1,D1335,G1335)</f>
        <v>8.86261069695302</v>
      </c>
    </row>
    <row r="1336" customFormat="false" ht="15" hidden="false" customHeight="false" outlineLevel="0" collapsed="false">
      <c r="A1336" s="13" t="s">
        <v>247</v>
      </c>
      <c r="B1336" s="13" t="s">
        <v>114</v>
      </c>
      <c r="C1336" s="13" t="s">
        <v>129</v>
      </c>
      <c r="D1336" s="15" t="n">
        <v>0.13285</v>
      </c>
      <c r="E1336" s="13" t="n">
        <v>0.99935</v>
      </c>
      <c r="F1336" s="16" t="n">
        <f aca="false">IF(H1336=1,"",D1336/E1336)</f>
        <v>0.132936408665633</v>
      </c>
      <c r="G1336" s="17" t="n">
        <f aca="false">IF(H1336=1,"",D1336/E1336*Notas!$B$3)</f>
        <v>12.6289588232351</v>
      </c>
      <c r="H1336" s="13" t="n">
        <v>0</v>
      </c>
      <c r="I1336" s="17" t="n">
        <f aca="false">IF(H1336=1,D1336,G1336)</f>
        <v>12.6289588232351</v>
      </c>
    </row>
    <row r="1337" customFormat="false" ht="15" hidden="false" customHeight="false" outlineLevel="0" collapsed="false">
      <c r="A1337" s="13" t="s">
        <v>247</v>
      </c>
      <c r="B1337" s="13" t="s">
        <v>114</v>
      </c>
      <c r="C1337" s="13" t="s">
        <v>130</v>
      </c>
      <c r="D1337" s="15" t="n">
        <v>0.37606</v>
      </c>
      <c r="E1337" s="13" t="n">
        <v>0.99935</v>
      </c>
      <c r="F1337" s="16" t="n">
        <f aca="false">IF(H1337=1,"",D1337/E1337)</f>
        <v>0.376304597988693</v>
      </c>
      <c r="G1337" s="17" t="n">
        <f aca="false">IF(H1337=1,"",D1337/E1337*Notas!$B$3)</f>
        <v>35.7489368089258</v>
      </c>
      <c r="H1337" s="13" t="n">
        <v>0</v>
      </c>
      <c r="I1337" s="17" t="n">
        <f aca="false">IF(H1337=1,D1337,G1337)</f>
        <v>35.7489368089258</v>
      </c>
    </row>
    <row r="1338" customFormat="false" ht="15" hidden="false" customHeight="false" outlineLevel="0" collapsed="false">
      <c r="A1338" s="13" t="s">
        <v>247</v>
      </c>
      <c r="B1338" s="13" t="s">
        <v>114</v>
      </c>
      <c r="C1338" s="13" t="s">
        <v>131</v>
      </c>
      <c r="D1338" s="15" t="n">
        <v>0.36767</v>
      </c>
      <c r="E1338" s="13" t="n">
        <v>0.99935</v>
      </c>
      <c r="F1338" s="16" t="n">
        <f aca="false">IF(H1338=1,"",D1338/E1338)</f>
        <v>0.367909140941612</v>
      </c>
      <c r="G1338" s="17" t="n">
        <f aca="false">IF(H1338=1,"",D1338/E1338*Notas!$B$3)</f>
        <v>34.9513683894531</v>
      </c>
      <c r="H1338" s="13" t="n">
        <v>0</v>
      </c>
      <c r="I1338" s="17" t="n">
        <f aca="false">IF(H1338=1,D1338,G1338)</f>
        <v>34.9513683894531</v>
      </c>
    </row>
    <row r="1339" customFormat="false" ht="15" hidden="false" customHeight="false" outlineLevel="0" collapsed="false">
      <c r="A1339" s="13" t="s">
        <v>247</v>
      </c>
      <c r="B1339" s="13" t="s">
        <v>114</v>
      </c>
      <c r="C1339" s="13" t="s">
        <v>132</v>
      </c>
      <c r="D1339" s="15" t="n">
        <v>4</v>
      </c>
      <c r="E1339" s="13" t="n">
        <v>0.99935</v>
      </c>
      <c r="F1339" s="16" t="str">
        <f aca="false">IF(H1339=1,"",D1339/E1339)</f>
        <v/>
      </c>
      <c r="G1339" s="17" t="str">
        <f aca="false">IF(H1339=1,"",D1339/E1339*Notas!$B$3)</f>
        <v/>
      </c>
      <c r="H1339" s="13" t="n">
        <v>1</v>
      </c>
      <c r="I1339" s="17" t="n">
        <f aca="false">IF(H1339=1,D1339,G1339)</f>
        <v>4</v>
      </c>
    </row>
    <row r="1340" customFormat="false" ht="15" hidden="false" customHeight="false" outlineLevel="0" collapsed="false">
      <c r="A1340" s="13" t="s">
        <v>247</v>
      </c>
      <c r="B1340" s="13" t="s">
        <v>114</v>
      </c>
      <c r="C1340" s="13" t="s">
        <v>133</v>
      </c>
      <c r="D1340" s="15" t="n">
        <v>0.54964</v>
      </c>
      <c r="E1340" s="13" t="n">
        <v>0.99935</v>
      </c>
      <c r="F1340" s="16" t="n">
        <f aca="false">IF(H1340=1,"",D1340/E1340)</f>
        <v>0.549997498373943</v>
      </c>
      <c r="G1340" s="17" t="n">
        <f aca="false">IF(H1340=1,"",D1340/E1340*Notas!$B$3)</f>
        <v>52.2497623455246</v>
      </c>
      <c r="H1340" s="13" t="n">
        <v>0</v>
      </c>
      <c r="I1340" s="17" t="n">
        <f aca="false">IF(H1340=1,D1340,G1340)</f>
        <v>52.2497623455246</v>
      </c>
    </row>
    <row r="1341" customFormat="false" ht="15" hidden="false" customHeight="false" outlineLevel="0" collapsed="false">
      <c r="A1341" s="13" t="s">
        <v>247</v>
      </c>
      <c r="B1341" s="13" t="s">
        <v>114</v>
      </c>
      <c r="C1341" s="13" t="s">
        <v>134</v>
      </c>
      <c r="D1341" s="15" t="n">
        <v>0.19327</v>
      </c>
      <c r="E1341" s="13" t="n">
        <v>0.99935</v>
      </c>
      <c r="F1341" s="16" t="n">
        <f aca="false">IF(H1341=1,"",D1341/E1341)</f>
        <v>0.193395707209686</v>
      </c>
      <c r="G1341" s="17" t="n">
        <f aca="false">IF(H1341=1,"",D1341/E1341*Notas!$B$3)</f>
        <v>18.3725921849202</v>
      </c>
      <c r="H1341" s="13" t="n">
        <v>0</v>
      </c>
      <c r="I1341" s="17" t="n">
        <f aca="false">IF(H1341=1,D1341,G1341)</f>
        <v>18.3725921849202</v>
      </c>
    </row>
    <row r="1342" customFormat="false" ht="15" hidden="false" customHeight="false" outlineLevel="0" collapsed="false">
      <c r="A1342" s="13" t="s">
        <v>247</v>
      </c>
      <c r="B1342" s="13" t="s">
        <v>114</v>
      </c>
      <c r="C1342" s="13" t="s">
        <v>135</v>
      </c>
      <c r="D1342" s="15" t="n">
        <v>0.11838</v>
      </c>
      <c r="E1342" s="13" t="n">
        <v>0.99935</v>
      </c>
      <c r="F1342" s="16" t="n">
        <f aca="false">IF(H1342=1,"",D1342/E1342)</f>
        <v>0.118456997048081</v>
      </c>
      <c r="G1342" s="17" t="n">
        <f aca="false">IF(H1342=1,"",D1342/E1342*Notas!$B$3)</f>
        <v>11.2534147195677</v>
      </c>
      <c r="H1342" s="13" t="n">
        <v>0</v>
      </c>
      <c r="I1342" s="17" t="n">
        <f aca="false">IF(H1342=1,D1342,G1342)</f>
        <v>11.2534147195677</v>
      </c>
    </row>
    <row r="1343" customFormat="false" ht="15" hidden="false" customHeight="false" outlineLevel="0" collapsed="false">
      <c r="A1343" s="13" t="s">
        <v>247</v>
      </c>
      <c r="B1343" s="13" t="s">
        <v>114</v>
      </c>
      <c r="C1343" s="13" t="s">
        <v>136</v>
      </c>
      <c r="D1343" s="15" t="n">
        <v>0.51528</v>
      </c>
      <c r="E1343" s="13" t="n">
        <v>0.99935</v>
      </c>
      <c r="F1343" s="16" t="n">
        <f aca="false">IF(H1343=1,"",D1343/E1343)</f>
        <v>0.515615149847401</v>
      </c>
      <c r="G1343" s="17" t="n">
        <f aca="false">IF(H1343=1,"",D1343/E1343*Notas!$B$3)</f>
        <v>48.9834392355031</v>
      </c>
      <c r="H1343" s="13" t="n">
        <v>0</v>
      </c>
      <c r="I1343" s="17" t="n">
        <f aca="false">IF(H1343=1,D1343,G1343)</f>
        <v>48.9834392355031</v>
      </c>
    </row>
    <row r="1344" customFormat="false" ht="15" hidden="false" customHeight="false" outlineLevel="0" collapsed="false">
      <c r="A1344" s="13" t="s">
        <v>247</v>
      </c>
      <c r="B1344" s="13" t="s">
        <v>114</v>
      </c>
      <c r="C1344" s="13" t="s">
        <v>137</v>
      </c>
      <c r="D1344" s="15" t="n">
        <v>0.19327</v>
      </c>
      <c r="E1344" s="13" t="n">
        <v>0.99935</v>
      </c>
      <c r="F1344" s="16" t="n">
        <f aca="false">IF(H1344=1,"",D1344/E1344)</f>
        <v>0.193395707209686</v>
      </c>
      <c r="G1344" s="17" t="n">
        <f aca="false">IF(H1344=1,"",D1344/E1344*Notas!$B$3)</f>
        <v>18.3725921849202</v>
      </c>
      <c r="H1344" s="13" t="n">
        <v>0</v>
      </c>
      <c r="I1344" s="17" t="n">
        <f aca="false">IF(H1344=1,D1344,G1344)</f>
        <v>18.3725921849202</v>
      </c>
    </row>
    <row r="1345" customFormat="false" ht="15" hidden="false" customHeight="false" outlineLevel="0" collapsed="false">
      <c r="A1345" s="13" t="s">
        <v>247</v>
      </c>
      <c r="B1345" s="13" t="s">
        <v>114</v>
      </c>
      <c r="C1345" s="13" t="s">
        <v>138</v>
      </c>
      <c r="D1345" s="15" t="n">
        <v>3</v>
      </c>
      <c r="E1345" s="13" t="n">
        <v>0.99935</v>
      </c>
      <c r="F1345" s="16" t="str">
        <f aca="false">IF(H1345=1,"",D1345/E1345)</f>
        <v/>
      </c>
      <c r="G1345" s="17" t="str">
        <f aca="false">IF(H1345=1,"",D1345/E1345*Notas!$B$3)</f>
        <v/>
      </c>
      <c r="H1345" s="13" t="n">
        <v>1</v>
      </c>
      <c r="I1345" s="17" t="n">
        <f aca="false">IF(H1345=1,D1345,G1345)</f>
        <v>3</v>
      </c>
    </row>
    <row r="1346" customFormat="false" ht="15" hidden="false" customHeight="false" outlineLevel="0" collapsed="false">
      <c r="A1346" s="13" t="s">
        <v>247</v>
      </c>
      <c r="B1346" s="13" t="s">
        <v>139</v>
      </c>
      <c r="C1346" s="13" t="s">
        <v>182</v>
      </c>
      <c r="D1346" s="15" t="n">
        <v>0.2067</v>
      </c>
      <c r="E1346" s="13" t="n">
        <v>0.99935</v>
      </c>
      <c r="F1346" s="16" t="n">
        <f aca="false">IF(H1346=1,"",D1346/E1346)</f>
        <v>0.206834442387552</v>
      </c>
      <c r="G1346" s="17" t="n">
        <f aca="false">IF(H1346=1,"",D1346/E1346*Notas!$B$3)</f>
        <v>19.6492720268174</v>
      </c>
      <c r="H1346" s="13" t="n">
        <v>0</v>
      </c>
      <c r="I1346" s="17" t="n">
        <f aca="false">IF(H1346=1,D1346,G1346)</f>
        <v>19.6492720268174</v>
      </c>
    </row>
    <row r="1347" customFormat="false" ht="15" hidden="false" customHeight="false" outlineLevel="0" collapsed="false">
      <c r="A1347" s="13" t="s">
        <v>247</v>
      </c>
      <c r="B1347" s="13" t="s">
        <v>139</v>
      </c>
      <c r="C1347" s="13" t="s">
        <v>183</v>
      </c>
      <c r="D1347" s="15" t="n">
        <v>0.41812</v>
      </c>
      <c r="E1347" s="13" t="n">
        <v>0.99935</v>
      </c>
      <c r="F1347" s="16" t="n">
        <f aca="false">IF(H1347=1,"",D1347/E1347)</f>
        <v>0.418391954770601</v>
      </c>
      <c r="G1347" s="17" t="n">
        <f aca="false">IF(H1347=1,"",D1347/E1347*Notas!$B$3)</f>
        <v>39.7472357032071</v>
      </c>
      <c r="H1347" s="13" t="n">
        <v>0</v>
      </c>
      <c r="I1347" s="17" t="n">
        <f aca="false">IF(H1347=1,D1347,G1347)</f>
        <v>39.7472357032071</v>
      </c>
    </row>
    <row r="1348" customFormat="false" ht="15" hidden="false" customHeight="false" outlineLevel="0" collapsed="false">
      <c r="A1348" s="13" t="s">
        <v>247</v>
      </c>
      <c r="B1348" s="13" t="s">
        <v>139</v>
      </c>
      <c r="C1348" s="13" t="s">
        <v>184</v>
      </c>
      <c r="D1348" s="15" t="n">
        <v>0.21143</v>
      </c>
      <c r="E1348" s="13" t="n">
        <v>0.99935</v>
      </c>
      <c r="F1348" s="16" t="n">
        <f aca="false">IF(H1348=1,"",D1348/E1348)</f>
        <v>0.211567518887277</v>
      </c>
      <c r="G1348" s="17" t="n">
        <f aca="false">IF(H1348=1,"",D1348/E1348*Notas!$B$3)</f>
        <v>20.0989142942913</v>
      </c>
      <c r="H1348" s="13" t="n">
        <v>0</v>
      </c>
      <c r="I1348" s="17" t="n">
        <f aca="false">IF(H1348=1,D1348,G1348)</f>
        <v>20.0989142942913</v>
      </c>
    </row>
    <row r="1349" customFormat="false" ht="15" hidden="false" customHeight="false" outlineLevel="0" collapsed="false">
      <c r="A1349" s="13" t="s">
        <v>247</v>
      </c>
      <c r="B1349" s="13" t="s">
        <v>139</v>
      </c>
      <c r="C1349" s="13" t="s">
        <v>185</v>
      </c>
      <c r="D1349" s="15" t="n">
        <v>0.10183</v>
      </c>
      <c r="E1349" s="13" t="n">
        <v>0.99935</v>
      </c>
      <c r="F1349" s="16" t="n">
        <f aca="false">IF(H1349=1,"",D1349/E1349)</f>
        <v>0.101896232551158</v>
      </c>
      <c r="G1349" s="17" t="n">
        <f aca="false">IF(H1349=1,"",D1349/E1349*Notas!$B$3)</f>
        <v>9.68014209236003</v>
      </c>
      <c r="H1349" s="13" t="n">
        <v>0</v>
      </c>
      <c r="I1349" s="17" t="n">
        <f aca="false">IF(H1349=1,D1349,G1349)</f>
        <v>9.68014209236003</v>
      </c>
    </row>
    <row r="1350" customFormat="false" ht="15" hidden="false" customHeight="false" outlineLevel="0" collapsed="false">
      <c r="A1350" s="13" t="s">
        <v>247</v>
      </c>
      <c r="B1350" s="13" t="s">
        <v>139</v>
      </c>
      <c r="C1350" s="13" t="s">
        <v>186</v>
      </c>
      <c r="D1350" s="15" t="n">
        <v>0.13045</v>
      </c>
      <c r="E1350" s="13" t="n">
        <v>0.99935</v>
      </c>
      <c r="F1350" s="16" t="n">
        <f aca="false">IF(H1350=1,"",D1350/E1350)</f>
        <v>0.130534847650973</v>
      </c>
      <c r="G1350" s="17" t="n">
        <f aca="false">IF(H1350=1,"",D1350/E1350*Notas!$B$3)</f>
        <v>12.4008105268424</v>
      </c>
      <c r="H1350" s="13" t="n">
        <v>0</v>
      </c>
      <c r="I1350" s="17" t="n">
        <f aca="false">IF(H1350=1,D1350,G1350)</f>
        <v>12.4008105268424</v>
      </c>
    </row>
    <row r="1351" customFormat="false" ht="15" hidden="false" customHeight="false" outlineLevel="0" collapsed="false">
      <c r="A1351" s="13" t="s">
        <v>247</v>
      </c>
      <c r="B1351" s="13" t="s">
        <v>139</v>
      </c>
      <c r="C1351" s="13" t="s">
        <v>187</v>
      </c>
      <c r="D1351" s="15" t="n">
        <v>0.18146</v>
      </c>
      <c r="E1351" s="13" t="n">
        <v>0.99935</v>
      </c>
      <c r="F1351" s="16" t="n">
        <f aca="false">IF(H1351=1,"",D1351/E1351)</f>
        <v>0.181578025716716</v>
      </c>
      <c r="G1351" s="17" t="n">
        <f aca="false">IF(H1351=1,"",D1351/E1351*Notas!$B$3)</f>
        <v>17.249912443088</v>
      </c>
      <c r="H1351" s="13" t="n">
        <v>0</v>
      </c>
      <c r="I1351" s="17" t="n">
        <f aca="false">IF(H1351=1,D1351,G1351)</f>
        <v>17.249912443088</v>
      </c>
    </row>
    <row r="1352" customFormat="false" ht="15" hidden="false" customHeight="false" outlineLevel="0" collapsed="false">
      <c r="A1352" s="13" t="s">
        <v>247</v>
      </c>
      <c r="B1352" s="13" t="s">
        <v>143</v>
      </c>
      <c r="C1352" s="13" t="s">
        <v>188</v>
      </c>
      <c r="D1352" s="15" t="n">
        <v>0.53891</v>
      </c>
      <c r="E1352" s="13" t="n">
        <v>0.99935</v>
      </c>
      <c r="F1352" s="16" t="n">
        <f aca="false">IF(H1352=1,"",D1352/E1352)</f>
        <v>0.53926051933757</v>
      </c>
      <c r="G1352" s="17" t="n">
        <f aca="false">IF(H1352=1,"",D1352/E1352*Notas!$B$3)</f>
        <v>51.2297493370691</v>
      </c>
      <c r="H1352" s="13" t="n">
        <v>0</v>
      </c>
      <c r="I1352" s="17" t="n">
        <f aca="false">IF(H1352=1,D1352,G1352)</f>
        <v>51.2297493370691</v>
      </c>
    </row>
    <row r="1353" customFormat="false" ht="15" hidden="false" customHeight="false" outlineLevel="0" collapsed="false">
      <c r="A1353" s="13" t="s">
        <v>247</v>
      </c>
      <c r="B1353" s="13" t="s">
        <v>143</v>
      </c>
      <c r="C1353" s="13" t="s">
        <v>189</v>
      </c>
      <c r="D1353" s="15" t="n">
        <v>0.33347</v>
      </c>
      <c r="E1353" s="13" t="n">
        <v>0.99935</v>
      </c>
      <c r="F1353" s="16" t="n">
        <f aca="false">IF(H1353=1,"",D1353/E1353)</f>
        <v>0.333686896482714</v>
      </c>
      <c r="G1353" s="17" t="n">
        <f aca="false">IF(H1353=1,"",D1353/E1353*Notas!$B$3)</f>
        <v>31.7002551658578</v>
      </c>
      <c r="H1353" s="13" t="n">
        <v>0</v>
      </c>
      <c r="I1353" s="17" t="n">
        <f aca="false">IF(H1353=1,D1353,G1353)</f>
        <v>31.7002551658578</v>
      </c>
    </row>
    <row r="1354" customFormat="false" ht="15" hidden="false" customHeight="false" outlineLevel="0" collapsed="false">
      <c r="A1354" s="13" t="s">
        <v>247</v>
      </c>
      <c r="B1354" s="13" t="s">
        <v>143</v>
      </c>
      <c r="C1354" s="13" t="s">
        <v>190</v>
      </c>
      <c r="D1354" s="15" t="n">
        <v>0.20544</v>
      </c>
      <c r="E1354" s="13" t="n">
        <v>0.99935</v>
      </c>
      <c r="F1354" s="16" t="n">
        <f aca="false">IF(H1354=1,"",D1354/E1354)</f>
        <v>0.205573622854856</v>
      </c>
      <c r="G1354" s="17" t="n">
        <f aca="false">IF(H1354=1,"",D1354/E1354*Notas!$B$3)</f>
        <v>19.5294941712113</v>
      </c>
      <c r="H1354" s="13" t="n">
        <v>0</v>
      </c>
      <c r="I1354" s="17" t="n">
        <f aca="false">IF(H1354=1,D1354,G1354)</f>
        <v>19.5294941712113</v>
      </c>
    </row>
    <row r="1355" customFormat="false" ht="15" hidden="false" customHeight="false" outlineLevel="0" collapsed="false">
      <c r="A1355" s="13" t="s">
        <v>247</v>
      </c>
      <c r="B1355" s="13" t="s">
        <v>143</v>
      </c>
      <c r="C1355" s="13" t="s">
        <v>191</v>
      </c>
      <c r="D1355" s="15" t="n">
        <v>0.08014</v>
      </c>
      <c r="E1355" s="13" t="n">
        <v>0.99935</v>
      </c>
      <c r="F1355" s="16" t="n">
        <f aca="false">IF(H1355=1,"",D1355/E1355)</f>
        <v>0.0801921248811728</v>
      </c>
      <c r="G1355" s="17" t="n">
        <f aca="false">IF(H1355=1,"",D1355/E1355*Notas!$B$3)</f>
        <v>7.61825186371141</v>
      </c>
      <c r="H1355" s="13" t="n">
        <v>0</v>
      </c>
      <c r="I1355" s="17" t="n">
        <f aca="false">IF(H1355=1,D1355,G1355)</f>
        <v>7.61825186371141</v>
      </c>
    </row>
    <row r="1356" customFormat="false" ht="15" hidden="false" customHeight="false" outlineLevel="0" collapsed="false">
      <c r="A1356" s="13" t="s">
        <v>247</v>
      </c>
      <c r="B1356" s="13" t="s">
        <v>143</v>
      </c>
      <c r="C1356" s="13" t="s">
        <v>192</v>
      </c>
      <c r="D1356" s="15" t="n">
        <v>0.14919</v>
      </c>
      <c r="E1356" s="13" t="n">
        <v>0.99935</v>
      </c>
      <c r="F1356" s="16" t="n">
        <f aca="false">IF(H1356=1,"",D1356/E1356)</f>
        <v>0.149287036573773</v>
      </c>
      <c r="G1356" s="17" t="n">
        <f aca="false">IF(H1356=1,"",D1356/E1356*Notas!$B$3)</f>
        <v>14.1822684745084</v>
      </c>
      <c r="H1356" s="13" t="n">
        <v>0</v>
      </c>
      <c r="I1356" s="17" t="n">
        <f aca="false">IF(H1356=1,D1356,G1356)</f>
        <v>14.1822684745084</v>
      </c>
    </row>
    <row r="1357" customFormat="false" ht="15" hidden="false" customHeight="false" outlineLevel="0" collapsed="false">
      <c r="A1357" s="13" t="s">
        <v>247</v>
      </c>
      <c r="B1357" s="13" t="s">
        <v>143</v>
      </c>
      <c r="C1357" s="13" t="s">
        <v>193</v>
      </c>
      <c r="D1357" s="15" t="n">
        <v>0.33222</v>
      </c>
      <c r="E1357" s="13" t="n">
        <v>0.99935</v>
      </c>
      <c r="F1357" s="16" t="n">
        <f aca="false">IF(H1357=1,"",D1357/E1357)</f>
        <v>0.332436083454245</v>
      </c>
      <c r="G1357" s="17" t="n">
        <f aca="false">IF(H1357=1,"",D1357/E1357*Notas!$B$3)</f>
        <v>31.5814279281533</v>
      </c>
      <c r="H1357" s="13" t="n">
        <v>0</v>
      </c>
      <c r="I1357" s="17" t="n">
        <f aca="false">IF(H1357=1,D1357,G1357)</f>
        <v>31.5814279281533</v>
      </c>
    </row>
    <row r="1358" customFormat="false" ht="15" hidden="false" customHeight="false" outlineLevel="0" collapsed="false">
      <c r="A1358" s="13" t="s">
        <v>247</v>
      </c>
      <c r="B1358" s="13" t="s">
        <v>139</v>
      </c>
      <c r="C1358" s="13" t="s">
        <v>194</v>
      </c>
      <c r="D1358" s="15" t="n">
        <v>0.20639</v>
      </c>
      <c r="E1358" s="13" t="n">
        <v>0.99935</v>
      </c>
      <c r="F1358" s="16" t="n">
        <f aca="false">IF(H1358=1,"",D1358/E1358)</f>
        <v>0.206524240756492</v>
      </c>
      <c r="G1358" s="17" t="n">
        <f aca="false">IF(H1358=1,"",D1358/E1358*Notas!$B$3)</f>
        <v>19.6198028718667</v>
      </c>
      <c r="H1358" s="13" t="n">
        <v>0</v>
      </c>
      <c r="I1358" s="17" t="n">
        <f aca="false">IF(H1358=1,D1358,G1358)</f>
        <v>19.6198028718667</v>
      </c>
    </row>
    <row r="1359" customFormat="false" ht="15" hidden="false" customHeight="false" outlineLevel="0" collapsed="false">
      <c r="A1359" s="13" t="s">
        <v>247</v>
      </c>
      <c r="B1359" s="13" t="s">
        <v>139</v>
      </c>
      <c r="C1359" s="13" t="s">
        <v>195</v>
      </c>
      <c r="D1359" s="15" t="n">
        <v>0.45751</v>
      </c>
      <c r="E1359" s="13" t="n">
        <v>0.99935</v>
      </c>
      <c r="F1359" s="16" t="n">
        <f aca="false">IF(H1359=1,"",D1359/E1359)</f>
        <v>0.4578075749237</v>
      </c>
      <c r="G1359" s="17" t="n">
        <f aca="false">IF(H1359=1,"",D1359/E1359*Notas!$B$3)</f>
        <v>43.4917196177515</v>
      </c>
      <c r="H1359" s="13" t="n">
        <v>0</v>
      </c>
      <c r="I1359" s="17" t="n">
        <f aca="false">IF(H1359=1,D1359,G1359)</f>
        <v>43.4917196177515</v>
      </c>
    </row>
    <row r="1360" customFormat="false" ht="15" hidden="false" customHeight="false" outlineLevel="0" collapsed="false">
      <c r="A1360" s="13" t="s">
        <v>247</v>
      </c>
      <c r="B1360" s="13" t="s">
        <v>139</v>
      </c>
      <c r="C1360" s="13" t="s">
        <v>196</v>
      </c>
      <c r="D1360" s="15" t="n">
        <v>0.25113</v>
      </c>
      <c r="E1360" s="13" t="n">
        <v>0.99935</v>
      </c>
      <c r="F1360" s="16" t="n">
        <f aca="false">IF(H1360=1,"",D1360/E1360)</f>
        <v>0.251293340671436</v>
      </c>
      <c r="G1360" s="17" t="n">
        <f aca="false">IF(H1360=1,"",D1360/E1360*Notas!$B$3)</f>
        <v>23.8728673637865</v>
      </c>
      <c r="H1360" s="13" t="n">
        <v>0</v>
      </c>
      <c r="I1360" s="17" t="n">
        <f aca="false">IF(H1360=1,D1360,G1360)</f>
        <v>23.8728673637865</v>
      </c>
    </row>
    <row r="1361" customFormat="false" ht="15" hidden="false" customHeight="false" outlineLevel="0" collapsed="false">
      <c r="A1361" s="13" t="s">
        <v>247</v>
      </c>
      <c r="B1361" s="13" t="s">
        <v>139</v>
      </c>
      <c r="C1361" s="13" t="s">
        <v>197</v>
      </c>
      <c r="D1361" s="15" t="n">
        <v>0.12377</v>
      </c>
      <c r="E1361" s="13" t="n">
        <v>0.99935</v>
      </c>
      <c r="F1361" s="16" t="n">
        <f aca="false">IF(H1361=1,"",D1361/E1361)</f>
        <v>0.123850502826837</v>
      </c>
      <c r="G1361" s="17" t="n">
        <f aca="false">IF(H1361=1,"",D1361/E1361*Notas!$B$3)</f>
        <v>11.7657977685496</v>
      </c>
      <c r="H1361" s="13" t="n">
        <v>0</v>
      </c>
      <c r="I1361" s="17" t="n">
        <f aca="false">IF(H1361=1,D1361,G1361)</f>
        <v>11.7657977685496</v>
      </c>
    </row>
    <row r="1362" customFormat="false" ht="15" hidden="false" customHeight="false" outlineLevel="0" collapsed="false">
      <c r="A1362" s="13" t="s">
        <v>247</v>
      </c>
      <c r="B1362" s="13" t="s">
        <v>139</v>
      </c>
      <c r="C1362" s="13" t="s">
        <v>198</v>
      </c>
      <c r="D1362" s="15" t="n">
        <v>0.13812</v>
      </c>
      <c r="E1362" s="13" t="n">
        <v>0.99935</v>
      </c>
      <c r="F1362" s="16" t="n">
        <f aca="false">IF(H1362=1,"",D1362/E1362)</f>
        <v>0.138209836393656</v>
      </c>
      <c r="G1362" s="17" t="n">
        <f aca="false">IF(H1362=1,"",D1362/E1362*Notas!$B$3)</f>
        <v>13.1299344573973</v>
      </c>
      <c r="H1362" s="13" t="n">
        <v>0</v>
      </c>
      <c r="I1362" s="17" t="n">
        <f aca="false">IF(H1362=1,D1362,G1362)</f>
        <v>13.1299344573973</v>
      </c>
    </row>
    <row r="1363" customFormat="false" ht="15" hidden="false" customHeight="false" outlineLevel="0" collapsed="false">
      <c r="A1363" s="13" t="s">
        <v>247</v>
      </c>
      <c r="B1363" s="13" t="s">
        <v>139</v>
      </c>
      <c r="C1363" s="13" t="s">
        <v>199</v>
      </c>
      <c r="D1363" s="15" t="n">
        <v>0.20691</v>
      </c>
      <c r="E1363" s="13" t="n">
        <v>0.99935</v>
      </c>
      <c r="F1363" s="16" t="n">
        <f aca="false">IF(H1363=1,"",D1363/E1363)</f>
        <v>0.207044578976335</v>
      </c>
      <c r="G1363" s="17" t="n">
        <f aca="false">IF(H1363=1,"",D1363/E1363*Notas!$B$3)</f>
        <v>19.6692350027518</v>
      </c>
      <c r="H1363" s="13" t="n">
        <v>0</v>
      </c>
      <c r="I1363" s="17" t="n">
        <f aca="false">IF(H1363=1,D1363,G1363)</f>
        <v>19.6692350027518</v>
      </c>
    </row>
    <row r="1364" customFormat="false" ht="15" hidden="false" customHeight="false" outlineLevel="0" collapsed="false">
      <c r="A1364" s="13" t="s">
        <v>247</v>
      </c>
      <c r="B1364" s="13" t="s">
        <v>143</v>
      </c>
      <c r="C1364" s="13" t="s">
        <v>200</v>
      </c>
      <c r="D1364" s="15" t="n">
        <v>0.55265</v>
      </c>
      <c r="E1364" s="13" t="n">
        <v>0.99935</v>
      </c>
      <c r="F1364" s="16" t="n">
        <f aca="false">IF(H1364=1,"",D1364/E1364)</f>
        <v>0.553009456146495</v>
      </c>
      <c r="G1364" s="17" t="n">
        <f aca="false">IF(H1364=1,"",D1364/E1364*Notas!$B$3)</f>
        <v>52.535898333917</v>
      </c>
      <c r="H1364" s="13" t="n">
        <v>0</v>
      </c>
      <c r="I1364" s="17" t="n">
        <f aca="false">IF(H1364=1,D1364,G1364)</f>
        <v>52.535898333917</v>
      </c>
    </row>
    <row r="1365" customFormat="false" ht="15" hidden="false" customHeight="false" outlineLevel="0" collapsed="false">
      <c r="A1365" s="13" t="s">
        <v>247</v>
      </c>
      <c r="B1365" s="13" t="s">
        <v>143</v>
      </c>
      <c r="C1365" s="13" t="s">
        <v>201</v>
      </c>
      <c r="D1365" s="15" t="n">
        <v>0.32299</v>
      </c>
      <c r="E1365" s="13" t="n">
        <v>0.99935</v>
      </c>
      <c r="F1365" s="16" t="n">
        <f aca="false">IF(H1365=1,"",D1365/E1365)</f>
        <v>0.323200080052034</v>
      </c>
      <c r="G1365" s="17" t="n">
        <f aca="false">IF(H1365=1,"",D1365/E1365*Notas!$B$3)</f>
        <v>30.7040076049432</v>
      </c>
      <c r="H1365" s="13" t="n">
        <v>0</v>
      </c>
      <c r="I1365" s="17" t="n">
        <f aca="false">IF(H1365=1,D1365,G1365)</f>
        <v>30.7040076049432</v>
      </c>
    </row>
    <row r="1366" customFormat="false" ht="15" hidden="false" customHeight="false" outlineLevel="0" collapsed="false">
      <c r="A1366" s="13" t="s">
        <v>247</v>
      </c>
      <c r="B1366" s="13" t="s">
        <v>143</v>
      </c>
      <c r="C1366" s="13" t="s">
        <v>202</v>
      </c>
      <c r="D1366" s="15" t="n">
        <v>0.22966</v>
      </c>
      <c r="E1366" s="13" t="n">
        <v>0.99935</v>
      </c>
      <c r="F1366" s="16" t="n">
        <f aca="false">IF(H1366=1,"",D1366/E1366)</f>
        <v>0.229809376094461</v>
      </c>
      <c r="G1366" s="17" t="n">
        <f aca="false">IF(H1366=1,"",D1366/E1366*Notas!$B$3)</f>
        <v>21.8318907289738</v>
      </c>
      <c r="H1366" s="13" t="n">
        <v>0</v>
      </c>
      <c r="I1366" s="17" t="n">
        <f aca="false">IF(H1366=1,D1366,G1366)</f>
        <v>21.8318907289738</v>
      </c>
    </row>
    <row r="1367" customFormat="false" ht="15" hidden="false" customHeight="false" outlineLevel="0" collapsed="false">
      <c r="A1367" s="13" t="s">
        <v>247</v>
      </c>
      <c r="B1367" s="13" t="s">
        <v>143</v>
      </c>
      <c r="C1367" s="13" t="s">
        <v>203</v>
      </c>
      <c r="D1367" s="15" t="n">
        <v>0.10384</v>
      </c>
      <c r="E1367" s="13" t="n">
        <v>0.99935</v>
      </c>
      <c r="F1367" s="16" t="n">
        <f aca="false">IF(H1367=1,"",D1367/E1367)</f>
        <v>0.103907539900936</v>
      </c>
      <c r="G1367" s="17" t="n">
        <f aca="false">IF(H1367=1,"",D1367/E1367*Notas!$B$3)</f>
        <v>9.87121629058888</v>
      </c>
      <c r="H1367" s="13" t="n">
        <v>0</v>
      </c>
      <c r="I1367" s="17" t="n">
        <f aca="false">IF(H1367=1,D1367,G1367)</f>
        <v>9.87121629058888</v>
      </c>
    </row>
    <row r="1368" customFormat="false" ht="15" hidden="false" customHeight="false" outlineLevel="0" collapsed="false">
      <c r="A1368" s="13" t="s">
        <v>247</v>
      </c>
      <c r="B1368" s="13" t="s">
        <v>143</v>
      </c>
      <c r="C1368" s="13" t="s">
        <v>204</v>
      </c>
      <c r="D1368" s="15" t="n">
        <v>0.14716</v>
      </c>
      <c r="E1368" s="13" t="n">
        <v>0.99935</v>
      </c>
      <c r="F1368" s="16" t="n">
        <f aca="false">IF(H1368=1,"",D1368/E1368)</f>
        <v>0.14725571621554</v>
      </c>
      <c r="G1368" s="17" t="n">
        <f aca="false">IF(H1368=1,"",D1368/E1368*Notas!$B$3)</f>
        <v>13.9892930404763</v>
      </c>
      <c r="H1368" s="13" t="n">
        <v>0</v>
      </c>
      <c r="I1368" s="17" t="n">
        <f aca="false">IF(H1368=1,D1368,G1368)</f>
        <v>13.9892930404763</v>
      </c>
    </row>
    <row r="1369" customFormat="false" ht="15" hidden="false" customHeight="false" outlineLevel="0" collapsed="false">
      <c r="A1369" s="13" t="s">
        <v>247</v>
      </c>
      <c r="B1369" s="13" t="s">
        <v>143</v>
      </c>
      <c r="C1369" s="13" t="s">
        <v>205</v>
      </c>
      <c r="D1369" s="15" t="n">
        <v>0.34626</v>
      </c>
      <c r="E1369" s="13" t="n">
        <v>0.99935</v>
      </c>
      <c r="F1369" s="16" t="n">
        <f aca="false">IF(H1369=1,"",D1369/E1369)</f>
        <v>0.346485215390004</v>
      </c>
      <c r="G1369" s="17" t="n">
        <f aca="false">IF(H1369=1,"",D1369/E1369*Notas!$B$3)</f>
        <v>32.9160954620503</v>
      </c>
      <c r="H1369" s="13" t="n">
        <v>0</v>
      </c>
      <c r="I1369" s="17" t="n">
        <f aca="false">IF(H1369=1,D1369,G1369)</f>
        <v>32.9160954620503</v>
      </c>
    </row>
    <row r="1370" customFormat="false" ht="15" hidden="false" customHeight="false" outlineLevel="0" collapsed="false">
      <c r="A1370" s="13" t="s">
        <v>247</v>
      </c>
      <c r="B1370" s="13" t="s">
        <v>114</v>
      </c>
      <c r="C1370" s="13" t="s">
        <v>206</v>
      </c>
      <c r="D1370" s="15" t="n">
        <v>0.2497</v>
      </c>
      <c r="E1370" s="13" t="n">
        <v>0.99935</v>
      </c>
      <c r="F1370" s="16" t="n">
        <f aca="false">IF(H1370=1,"",D1370/E1370)</f>
        <v>0.249862410566868</v>
      </c>
      <c r="G1370" s="17" t="n">
        <f aca="false">IF(H1370=1,"",D1370/E1370*Notas!$B$3)</f>
        <v>23.7369290038525</v>
      </c>
      <c r="H1370" s="13" t="n">
        <v>0</v>
      </c>
      <c r="I1370" s="17" t="n">
        <f aca="false">IF(H1370=1,D1370,G1370)</f>
        <v>23.7369290038525</v>
      </c>
    </row>
  </sheetData>
  <autoFilter ref="A1:I13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18" t="s">
        <v>219</v>
      </c>
      <c r="B1" s="18" t="s">
        <v>254</v>
      </c>
      <c r="C1" s="18" t="s">
        <v>255</v>
      </c>
      <c r="D1" s="18" t="s">
        <v>256</v>
      </c>
      <c r="E1" s="18" t="s">
        <v>257</v>
      </c>
      <c r="F1" s="18" t="s">
        <v>258</v>
      </c>
      <c r="G1" s="18" t="s">
        <v>259</v>
      </c>
      <c r="H1" s="18" t="s">
        <v>260</v>
      </c>
      <c r="I1" s="18" t="s">
        <v>261</v>
      </c>
      <c r="J1" s="18" t="s">
        <v>262</v>
      </c>
    </row>
    <row r="2" customFormat="false" ht="15" hidden="false" customHeight="false" outlineLevel="0" collapsed="false">
      <c r="A2" s="13" t="s">
        <v>225</v>
      </c>
      <c r="B2" s="13" t="n">
        <v>1</v>
      </c>
      <c r="C2" s="17" t="n">
        <f aca="false">B2/100*Notas!$B$3</f>
        <v>0.95</v>
      </c>
      <c r="D2" s="17" t="n">
        <f aca="false">43.91/95*Notas!$B$3</f>
        <v>43.91</v>
      </c>
      <c r="E2" s="17" t="n">
        <f aca="false">21.26/95*Notas!$B$3</f>
        <v>21.26</v>
      </c>
      <c r="F2" s="13" t="n">
        <v>2</v>
      </c>
      <c r="G2" s="17" t="n">
        <f aca="false">19.01/95*Notas!$B$3</f>
        <v>19.01</v>
      </c>
      <c r="H2" s="17" t="n">
        <f aca="false">21.26/95*Notas!$B$3</f>
        <v>21.26</v>
      </c>
      <c r="I2" s="17" t="n">
        <f aca="false">67.44/95*Notas!$B$3</f>
        <v>67.44</v>
      </c>
      <c r="J2" s="17" t="n">
        <f aca="false">131.97/95*Notas!$B$3</f>
        <v>131.97</v>
      </c>
    </row>
    <row r="3" customFormat="false" ht="15" hidden="false" customHeight="false" outlineLevel="0" collapsed="false">
      <c r="A3" s="13" t="s">
        <v>225</v>
      </c>
      <c r="B3" s="13" t="n">
        <v>2</v>
      </c>
      <c r="C3" s="17" t="n">
        <f aca="false">B3/100*Notas!$B$3</f>
        <v>1.9</v>
      </c>
      <c r="D3" s="17" t="n">
        <f aca="false">43.77/95*Notas!$B$3</f>
        <v>43.77</v>
      </c>
      <c r="E3" s="17" t="n">
        <f aca="false">21.21/95*Notas!$B$3</f>
        <v>21.21</v>
      </c>
      <c r="F3" s="13" t="n">
        <v>2</v>
      </c>
      <c r="G3" s="17" t="n">
        <f aca="false">18.94/95*Notas!$B$3</f>
        <v>18.94</v>
      </c>
      <c r="H3" s="17" t="n">
        <f aca="false">21.21/95*Notas!$B$3</f>
        <v>21.21</v>
      </c>
      <c r="I3" s="17" t="n">
        <f aca="false">67.21/95*Notas!$B$3</f>
        <v>67.21</v>
      </c>
      <c r="J3" s="17" t="n">
        <f aca="false">131.46/95*Notas!$B$3</f>
        <v>131.46</v>
      </c>
    </row>
    <row r="4" customFormat="false" ht="15" hidden="false" customHeight="false" outlineLevel="0" collapsed="false">
      <c r="A4" s="13" t="s">
        <v>225</v>
      </c>
      <c r="B4" s="13" t="n">
        <v>3</v>
      </c>
      <c r="C4" s="17" t="n">
        <f aca="false">B4/100*Notas!$B$3</f>
        <v>2.85</v>
      </c>
      <c r="D4" s="17" t="n">
        <f aca="false">43.61/95*Notas!$B$3</f>
        <v>43.61</v>
      </c>
      <c r="E4" s="17" t="n">
        <f aca="false">21.17/95*Notas!$B$3</f>
        <v>21.17</v>
      </c>
      <c r="F4" s="13" t="n">
        <v>2</v>
      </c>
      <c r="G4" s="17" t="n">
        <f aca="false">18.84/95*Notas!$B$3</f>
        <v>18.84</v>
      </c>
      <c r="H4" s="17" t="n">
        <f aca="false">21.17/95*Notas!$B$3</f>
        <v>21.17</v>
      </c>
      <c r="I4" s="17" t="n">
        <f aca="false">67.01/95*Notas!$B$3</f>
        <v>67.01</v>
      </c>
      <c r="J4" s="17" t="n">
        <f aca="false">130.96/95*Notas!$B$3</f>
        <v>130.96</v>
      </c>
    </row>
    <row r="5" customFormat="false" ht="15" hidden="false" customHeight="false" outlineLevel="0" collapsed="false">
      <c r="A5" s="13" t="s">
        <v>225</v>
      </c>
      <c r="B5" s="13" t="n">
        <v>4</v>
      </c>
      <c r="C5" s="17" t="n">
        <f aca="false">B5/100*Notas!$B$3</f>
        <v>3.8</v>
      </c>
      <c r="D5" s="17" t="n">
        <f aca="false">43.38/95*Notas!$B$3</f>
        <v>43.38</v>
      </c>
      <c r="E5" s="17" t="n">
        <f aca="false">21.11/95*Notas!$B$3</f>
        <v>21.11</v>
      </c>
      <c r="F5" s="13" t="n">
        <v>2</v>
      </c>
      <c r="G5" s="17" t="n">
        <f aca="false">18.73/95*Notas!$B$3</f>
        <v>18.73</v>
      </c>
      <c r="H5" s="17" t="n">
        <f aca="false">21.11/95*Notas!$B$3</f>
        <v>21.11</v>
      </c>
      <c r="I5" s="17" t="n">
        <f aca="false">66.71/95*Notas!$B$3</f>
        <v>66.71</v>
      </c>
      <c r="J5" s="17" t="n">
        <f aca="false">130.31/95*Notas!$B$3</f>
        <v>130.31</v>
      </c>
    </row>
    <row r="6" customFormat="false" ht="15" hidden="false" customHeight="false" outlineLevel="0" collapsed="false">
      <c r="A6" s="13" t="s">
        <v>225</v>
      </c>
      <c r="B6" s="13" t="n">
        <v>5</v>
      </c>
      <c r="C6" s="17" t="n">
        <f aca="false">B6/100*Notas!$B$3</f>
        <v>4.75</v>
      </c>
      <c r="D6" s="17" t="n">
        <f aca="false">43.15/95*Notas!$B$3</f>
        <v>43.15</v>
      </c>
      <c r="E6" s="17" t="n">
        <f aca="false">20.34/95*Notas!$B$3</f>
        <v>20.34</v>
      </c>
      <c r="F6" s="13" t="n">
        <v>2</v>
      </c>
      <c r="G6" s="17" t="n">
        <f aca="false">18.56/95*Notas!$B$3</f>
        <v>18.56</v>
      </c>
      <c r="H6" s="17" t="n">
        <f aca="false">20.34/95*Notas!$B$3</f>
        <v>20.34</v>
      </c>
      <c r="I6" s="17" t="n">
        <f aca="false">64.33/95*Notas!$B$3</f>
        <v>64.33</v>
      </c>
      <c r="J6" s="17" t="n">
        <f aca="false">125.78/95*Notas!$B$3</f>
        <v>125.78</v>
      </c>
    </row>
    <row r="7" customFormat="false" ht="15" hidden="false" customHeight="false" outlineLevel="0" collapsed="false">
      <c r="A7" s="13" t="s">
        <v>225</v>
      </c>
      <c r="B7" s="13" t="n">
        <v>6</v>
      </c>
      <c r="C7" s="17" t="n">
        <f aca="false">B7/100*Notas!$B$3</f>
        <v>5.7</v>
      </c>
      <c r="D7" s="17" t="n">
        <f aca="false">42.68/95*Notas!$B$3</f>
        <v>42.68</v>
      </c>
      <c r="E7" s="17" t="n">
        <f aca="false">18.93/95*Notas!$B$3</f>
        <v>18.93</v>
      </c>
      <c r="F7" s="13" t="n">
        <v>2</v>
      </c>
      <c r="G7" s="17" t="n">
        <f aca="false">18.15/95*Notas!$B$3</f>
        <v>18.15</v>
      </c>
      <c r="H7" s="17" t="n">
        <f aca="false">18.84/95*Notas!$B$3</f>
        <v>18.84</v>
      </c>
      <c r="I7" s="17" t="n">
        <f aca="false">59.61/95*Notas!$B$3</f>
        <v>59.61</v>
      </c>
      <c r="J7" s="17" t="n">
        <f aca="false">117.29/95*Notas!$B$3</f>
        <v>117.29</v>
      </c>
    </row>
    <row r="8" customFormat="false" ht="15" hidden="false" customHeight="false" outlineLevel="0" collapsed="false">
      <c r="A8" s="13" t="s">
        <v>225</v>
      </c>
      <c r="B8" s="13" t="n">
        <v>7</v>
      </c>
      <c r="C8" s="17" t="n">
        <f aca="false">B8/100*Notas!$B$3</f>
        <v>6.65</v>
      </c>
      <c r="D8" s="17" t="n">
        <f aca="false">36.93/95*Notas!$B$3</f>
        <v>36.93</v>
      </c>
      <c r="E8" s="17" t="n">
        <f aca="false">18.18/95*Notas!$B$3</f>
        <v>18.18</v>
      </c>
      <c r="F8" s="13" t="n">
        <v>2</v>
      </c>
      <c r="G8" s="17" t="n">
        <f aca="false">15.32/95*Notas!$B$3</f>
        <v>15.32</v>
      </c>
      <c r="H8" s="17" t="n">
        <f aca="false">18.14/95*Notas!$B$3</f>
        <v>18.14</v>
      </c>
      <c r="I8" s="17" t="n">
        <f aca="false">51.05/95*Notas!$B$3</f>
        <v>51.05</v>
      </c>
      <c r="J8" s="17" t="n">
        <f aca="false">100.8/95*Notas!$B$3</f>
        <v>100.8</v>
      </c>
    </row>
    <row r="9" customFormat="false" ht="15" hidden="false" customHeight="false" outlineLevel="0" collapsed="false">
      <c r="A9" s="13" t="s">
        <v>225</v>
      </c>
      <c r="B9" s="13" t="n">
        <v>8</v>
      </c>
      <c r="C9" s="17" t="n">
        <f aca="false">B9/100*Notas!$B$3</f>
        <v>7.6</v>
      </c>
      <c r="D9" s="17" t="n">
        <f aca="false">34.62/95*Notas!$B$3</f>
        <v>34.62</v>
      </c>
      <c r="E9" s="17" t="n">
        <f aca="false">15.56/95*Notas!$B$3</f>
        <v>15.56</v>
      </c>
      <c r="F9" s="13" t="n">
        <v>2</v>
      </c>
      <c r="G9" s="17" t="n">
        <f aca="false">15.56/95*Notas!$B$3</f>
        <v>15.56</v>
      </c>
      <c r="H9" s="17" t="n">
        <f aca="false">15.56/95*Notas!$B$3</f>
        <v>15.56</v>
      </c>
      <c r="I9" s="17" t="n">
        <f aca="false">47.48/95*Notas!$B$3</f>
        <v>47.48</v>
      </c>
      <c r="J9" s="17" t="n">
        <f aca="false">92.64/95*Notas!$B$3</f>
        <v>92.64</v>
      </c>
    </row>
    <row r="10" customFormat="false" ht="15" hidden="false" customHeight="false" outlineLevel="0" collapsed="false">
      <c r="A10" s="13" t="s">
        <v>225</v>
      </c>
      <c r="B10" s="13" t="n">
        <v>9</v>
      </c>
      <c r="C10" s="17" t="n">
        <f aca="false">B10/100*Notas!$B$3</f>
        <v>8.55</v>
      </c>
      <c r="D10" s="17" t="n">
        <f aca="false">35.61/95*Notas!$B$3</f>
        <v>35.61</v>
      </c>
      <c r="E10" s="17" t="n">
        <f aca="false">16.34/95*Notas!$B$3</f>
        <v>16.34</v>
      </c>
      <c r="F10" s="13" t="n">
        <v>2</v>
      </c>
      <c r="G10" s="17" t="n">
        <f aca="false">16.35/95*Notas!$B$3</f>
        <v>16.35</v>
      </c>
      <c r="H10" s="17" t="n">
        <f aca="false">16.34/95*Notas!$B$3</f>
        <v>16.34</v>
      </c>
      <c r="I10" s="17" t="n">
        <f aca="false">50.05/95*Notas!$B$3</f>
        <v>50.05</v>
      </c>
      <c r="J10" s="17" t="n">
        <f aca="false">97.49/95*Notas!$B$3</f>
        <v>97.49</v>
      </c>
    </row>
    <row r="11" customFormat="false" ht="15" hidden="false" customHeight="false" outlineLevel="0" collapsed="false">
      <c r="A11" s="13" t="s">
        <v>225</v>
      </c>
      <c r="B11" s="13" t="n">
        <v>10</v>
      </c>
      <c r="C11" s="17" t="n">
        <f aca="false">B11/100*Notas!$B$3</f>
        <v>9.5</v>
      </c>
      <c r="D11" s="17" t="n">
        <f aca="false">35.57/95*Notas!$B$3</f>
        <v>35.57</v>
      </c>
      <c r="E11" s="17" t="n">
        <f aca="false">16.72/95*Notas!$B$3</f>
        <v>16.72</v>
      </c>
      <c r="F11" s="13" t="n">
        <v>2</v>
      </c>
      <c r="G11" s="17" t="n">
        <f aca="false">16.31/95*Notas!$B$3</f>
        <v>16.31</v>
      </c>
      <c r="H11" s="17" t="n">
        <f aca="false">16.7/95*Notas!$B$3</f>
        <v>16.7</v>
      </c>
      <c r="I11" s="17" t="n">
        <f aca="false">50.37/95*Notas!$B$3</f>
        <v>50.37</v>
      </c>
      <c r="J11" s="17" t="n">
        <f aca="false">98.46/95*Notas!$B$3</f>
        <v>98.46</v>
      </c>
    </row>
    <row r="12" customFormat="false" ht="15" hidden="false" customHeight="false" outlineLevel="0" collapsed="false">
      <c r="A12" s="13" t="s">
        <v>225</v>
      </c>
      <c r="B12" s="13" t="n">
        <v>11</v>
      </c>
      <c r="C12" s="17" t="n">
        <f aca="false">B12/100*Notas!$B$3</f>
        <v>10.45</v>
      </c>
      <c r="D12" s="17" t="n">
        <f aca="false">35.54/95*Notas!$B$3</f>
        <v>35.54</v>
      </c>
      <c r="E12" s="17" t="n">
        <f aca="false">16.72/95*Notas!$B$3</f>
        <v>16.72</v>
      </c>
      <c r="F12" s="13" t="n">
        <v>2</v>
      </c>
      <c r="G12" s="17" t="n">
        <f aca="false">16.28/95*Notas!$B$3</f>
        <v>16.28</v>
      </c>
      <c r="H12" s="17" t="n">
        <f aca="false">16.7/95*Notas!$B$3</f>
        <v>16.7</v>
      </c>
      <c r="I12" s="17" t="n">
        <f aca="false">50.38/95*Notas!$B$3</f>
        <v>50.38</v>
      </c>
      <c r="J12" s="17" t="n">
        <f aca="false">98.63/95*Notas!$B$3</f>
        <v>98.63</v>
      </c>
    </row>
    <row r="13" customFormat="false" ht="15" hidden="false" customHeight="false" outlineLevel="0" collapsed="false">
      <c r="A13" s="13" t="s">
        <v>225</v>
      </c>
      <c r="B13" s="13" t="n">
        <v>12</v>
      </c>
      <c r="C13" s="17" t="n">
        <f aca="false">B13/100*Notas!$B$3</f>
        <v>11.4</v>
      </c>
      <c r="D13" s="17" t="n">
        <f aca="false">35.49/95*Notas!$B$3</f>
        <v>35.49</v>
      </c>
      <c r="E13" s="17" t="n">
        <f aca="false">16.72/95*Notas!$B$3</f>
        <v>16.72</v>
      </c>
      <c r="F13" s="13" t="n">
        <v>2</v>
      </c>
      <c r="G13" s="17" t="n">
        <f aca="false">16.24/95*Notas!$B$3</f>
        <v>16.24</v>
      </c>
      <c r="H13" s="17" t="n">
        <f aca="false">16.69/95*Notas!$B$3</f>
        <v>16.69</v>
      </c>
      <c r="I13" s="17" t="n">
        <f aca="false">50.38/95*Notas!$B$3</f>
        <v>50.38</v>
      </c>
      <c r="J13" s="17" t="n">
        <f aca="false">98.77/95*Notas!$B$3</f>
        <v>98.77</v>
      </c>
    </row>
    <row r="14" customFormat="false" ht="15" hidden="false" customHeight="false" outlineLevel="0" collapsed="false">
      <c r="A14" s="13" t="s">
        <v>225</v>
      </c>
      <c r="B14" s="13" t="n">
        <v>13</v>
      </c>
      <c r="C14" s="17" t="n">
        <f aca="false">B14/100*Notas!$B$3</f>
        <v>12.35</v>
      </c>
      <c r="D14" s="17" t="n">
        <f aca="false">35.44/95*Notas!$B$3</f>
        <v>35.44</v>
      </c>
      <c r="E14" s="17" t="n">
        <f aca="false">16.06/95*Notas!$B$3</f>
        <v>16.06</v>
      </c>
      <c r="F14" s="13" t="n">
        <v>2</v>
      </c>
      <c r="G14" s="17" t="n">
        <f aca="false">15.1/95*Notas!$B$3</f>
        <v>15.1</v>
      </c>
      <c r="H14" s="17" t="n">
        <f aca="false">16.04/95*Notas!$B$3</f>
        <v>16.04</v>
      </c>
      <c r="I14" s="17" t="n">
        <f aca="false">48.72/95*Notas!$B$3</f>
        <v>48.72</v>
      </c>
      <c r="J14" s="17" t="n">
        <f aca="false">96.61/95*Notas!$B$3</f>
        <v>96.61</v>
      </c>
    </row>
    <row r="15" customFormat="false" ht="15" hidden="false" customHeight="false" outlineLevel="0" collapsed="false">
      <c r="A15" s="13" t="s">
        <v>225</v>
      </c>
      <c r="B15" s="13" t="n">
        <v>14</v>
      </c>
      <c r="C15" s="17" t="n">
        <f aca="false">B15/100*Notas!$B$3</f>
        <v>13.3</v>
      </c>
      <c r="D15" s="17" t="n">
        <f aca="false">34.86/95*Notas!$B$3</f>
        <v>34.86</v>
      </c>
      <c r="E15" s="17" t="n">
        <f aca="false">14.23/95*Notas!$B$3</f>
        <v>14.23</v>
      </c>
      <c r="F15" s="13" t="n">
        <v>2</v>
      </c>
      <c r="G15" s="17" t="n">
        <f aca="false">14.83/95*Notas!$B$3</f>
        <v>14.83</v>
      </c>
      <c r="H15" s="17" t="n">
        <f aca="false">14.23/95*Notas!$B$3</f>
        <v>14.23</v>
      </c>
      <c r="I15" s="17" t="n">
        <f aca="false">62.35/95*Notas!$B$3</f>
        <v>62.35</v>
      </c>
      <c r="J15" s="17" t="n">
        <f aca="false">119.8/95*Notas!$B$3</f>
        <v>119.8</v>
      </c>
    </row>
    <row r="16" customFormat="false" ht="15" hidden="false" customHeight="false" outlineLevel="0" collapsed="false">
      <c r="A16" s="13" t="s">
        <v>225</v>
      </c>
      <c r="B16" s="13" t="n">
        <v>15</v>
      </c>
      <c r="C16" s="17" t="n">
        <f aca="false">B16/100*Notas!$B$3</f>
        <v>14.25</v>
      </c>
      <c r="D16" s="17" t="n">
        <f aca="false">32.09/95*Notas!$B$3</f>
        <v>32.09</v>
      </c>
      <c r="E16" s="17" t="n">
        <f aca="false">14.27/95*Notas!$B$3</f>
        <v>14.27</v>
      </c>
      <c r="F16" s="13" t="n">
        <v>2</v>
      </c>
      <c r="G16" s="17" t="n">
        <f aca="false">13.75/95*Notas!$B$3</f>
        <v>13.75</v>
      </c>
      <c r="H16" s="17" t="n">
        <f aca="false">14.27/95*Notas!$B$3</f>
        <v>14.27</v>
      </c>
      <c r="I16" s="17" t="n">
        <f aca="false">42.99/95*Notas!$B$3</f>
        <v>42.99</v>
      </c>
      <c r="J16" s="17" t="n">
        <f aca="false">84.02/95*Notas!$B$3</f>
        <v>84.02</v>
      </c>
    </row>
    <row r="17" customFormat="false" ht="15" hidden="false" customHeight="false" outlineLevel="0" collapsed="false">
      <c r="A17" s="13" t="s">
        <v>225</v>
      </c>
      <c r="B17" s="13" t="n">
        <v>16</v>
      </c>
      <c r="C17" s="17" t="n">
        <f aca="false">B17/100*Notas!$B$3</f>
        <v>15.2</v>
      </c>
      <c r="D17" s="17" t="n">
        <f aca="false">31.96/95*Notas!$B$3</f>
        <v>31.96</v>
      </c>
      <c r="E17" s="17" t="n">
        <f aca="false">14.3/95*Notas!$B$3</f>
        <v>14.3</v>
      </c>
      <c r="F17" s="13" t="n">
        <v>2</v>
      </c>
      <c r="G17" s="17" t="n">
        <f aca="false">13.23/95*Notas!$B$3</f>
        <v>13.23</v>
      </c>
      <c r="H17" s="17" t="n">
        <f aca="false">13.74/95*Notas!$B$3</f>
        <v>13.74</v>
      </c>
      <c r="I17" s="17" t="n">
        <f aca="false">41.47/95*Notas!$B$3</f>
        <v>41.47</v>
      </c>
      <c r="J17" s="17" t="n">
        <f aca="false">84.74/95*Notas!$B$3</f>
        <v>84.74</v>
      </c>
    </row>
    <row r="18" customFormat="false" ht="15" hidden="false" customHeight="false" outlineLevel="0" collapsed="false">
      <c r="A18" s="13" t="s">
        <v>225</v>
      </c>
      <c r="B18" s="13" t="n">
        <v>17</v>
      </c>
      <c r="C18" s="17" t="n">
        <f aca="false">B18/100*Notas!$B$3</f>
        <v>16.15</v>
      </c>
      <c r="D18" s="17" t="n">
        <f aca="false">31.81/95*Notas!$B$3</f>
        <v>31.81</v>
      </c>
      <c r="E18" s="17" t="n">
        <f aca="false">14.38/95*Notas!$B$3</f>
        <v>14.38</v>
      </c>
      <c r="F18" s="13" t="n">
        <v>2</v>
      </c>
      <c r="G18" s="17" t="n">
        <f aca="false">13.95/95*Notas!$B$3</f>
        <v>13.95</v>
      </c>
      <c r="H18" s="17" t="n">
        <f aca="false">14.38/95*Notas!$B$3</f>
        <v>14.38</v>
      </c>
      <c r="I18" s="17" t="n">
        <f aca="false">43.59/95*Notas!$B$3</f>
        <v>43.59</v>
      </c>
      <c r="J18" s="17" t="n">
        <f aca="false">85.55/95*Notas!$B$3</f>
        <v>85.55</v>
      </c>
    </row>
    <row r="19" customFormat="false" ht="15" hidden="false" customHeight="false" outlineLevel="0" collapsed="false">
      <c r="A19" s="13" t="s">
        <v>225</v>
      </c>
      <c r="B19" s="13" t="n">
        <v>18</v>
      </c>
      <c r="C19" s="17" t="n">
        <f aca="false">B19/100*Notas!$B$3</f>
        <v>17.1</v>
      </c>
      <c r="D19" s="17" t="n">
        <f aca="false">31.67/95*Notas!$B$3</f>
        <v>31.67</v>
      </c>
      <c r="E19" s="17" t="n">
        <f aca="false">14.48/95*Notas!$B$3</f>
        <v>14.48</v>
      </c>
      <c r="F19" s="13" t="n">
        <v>2</v>
      </c>
      <c r="G19" s="17" t="n">
        <f aca="false">14.06/95*Notas!$B$3</f>
        <v>14.06</v>
      </c>
      <c r="H19" s="17" t="n">
        <f aca="false">14.48/95*Notas!$B$3</f>
        <v>14.48</v>
      </c>
      <c r="I19" s="17" t="n">
        <f aca="false">43.96/95*Notas!$B$3</f>
        <v>43.96</v>
      </c>
      <c r="J19" s="17" t="n">
        <f aca="false">86.39/95*Notas!$B$3</f>
        <v>86.39</v>
      </c>
    </row>
    <row r="20" customFormat="false" ht="15" hidden="false" customHeight="false" outlineLevel="0" collapsed="false">
      <c r="A20" s="13" t="s">
        <v>225</v>
      </c>
      <c r="B20" s="13" t="n">
        <v>19</v>
      </c>
      <c r="C20" s="17" t="n">
        <f aca="false">B20/100*Notas!$B$3</f>
        <v>18.05</v>
      </c>
      <c r="D20" s="17" t="n">
        <f aca="false">31.52/95*Notas!$B$3</f>
        <v>31.52</v>
      </c>
      <c r="E20" s="17" t="n">
        <f aca="false">14.58/95*Notas!$B$3</f>
        <v>14.58</v>
      </c>
      <c r="F20" s="13" t="n">
        <v>2</v>
      </c>
      <c r="G20" s="17" t="n">
        <f aca="false">14.17/95*Notas!$B$3</f>
        <v>14.17</v>
      </c>
      <c r="H20" s="17" t="n">
        <f aca="false">14.58/95*Notas!$B$3</f>
        <v>14.58</v>
      </c>
      <c r="I20" s="17" t="n">
        <f aca="false">44.35/95*Notas!$B$3</f>
        <v>44.35</v>
      </c>
      <c r="J20" s="17" t="n">
        <f aca="false">87.23/95*Notas!$B$3</f>
        <v>87.23</v>
      </c>
    </row>
    <row r="21" customFormat="false" ht="15" hidden="false" customHeight="false" outlineLevel="0" collapsed="false">
      <c r="A21" s="13" t="s">
        <v>225</v>
      </c>
      <c r="B21" s="13" t="n">
        <v>20</v>
      </c>
      <c r="C21" s="17" t="n">
        <f aca="false">B21/100*Notas!$B$3</f>
        <v>19</v>
      </c>
      <c r="D21" s="17" t="n">
        <f aca="false">31.35/95*Notas!$B$3</f>
        <v>31.35</v>
      </c>
      <c r="E21" s="17" t="n">
        <f aca="false">14.68/95*Notas!$B$3</f>
        <v>14.68</v>
      </c>
      <c r="F21" s="13" t="n">
        <v>2</v>
      </c>
      <c r="G21" s="17" t="n">
        <f aca="false">14.25/95*Notas!$B$3</f>
        <v>14.25</v>
      </c>
      <c r="H21" s="17" t="n">
        <f aca="false">14.68/95*Notas!$B$3</f>
        <v>14.68</v>
      </c>
      <c r="I21" s="17" t="n">
        <f aca="false">44.73/95*Notas!$B$3</f>
        <v>44.73</v>
      </c>
      <c r="J21" s="17" t="n">
        <f aca="false">88.06/95*Notas!$B$3</f>
        <v>88.06</v>
      </c>
    </row>
    <row r="22" customFormat="false" ht="15" hidden="false" customHeight="false" outlineLevel="0" collapsed="false">
      <c r="A22" s="13" t="s">
        <v>225</v>
      </c>
      <c r="B22" s="13" t="n">
        <v>21</v>
      </c>
      <c r="C22" s="17" t="n">
        <f aca="false">B22/100*Notas!$B$3</f>
        <v>19.95</v>
      </c>
      <c r="D22" s="17" t="n">
        <f aca="false">31.16/95*Notas!$B$3</f>
        <v>31.16</v>
      </c>
      <c r="E22" s="17" t="n">
        <f aca="false">14.81/95*Notas!$B$3</f>
        <v>14.81</v>
      </c>
      <c r="F22" s="13" t="n">
        <v>2</v>
      </c>
      <c r="G22" s="17" t="n">
        <f aca="false">14.34/95*Notas!$B$3</f>
        <v>14.34</v>
      </c>
      <c r="H22" s="17" t="n">
        <f aca="false">14.77/95*Notas!$B$3</f>
        <v>14.77</v>
      </c>
      <c r="I22" s="17" t="n">
        <f aca="false">45.1/95*Notas!$B$3</f>
        <v>45.1</v>
      </c>
      <c r="J22" s="17" t="n">
        <f aca="false">88.87/95*Notas!$B$3</f>
        <v>88.87</v>
      </c>
    </row>
    <row r="23" customFormat="false" ht="15" hidden="false" customHeight="false" outlineLevel="0" collapsed="false">
      <c r="A23" s="13" t="s">
        <v>225</v>
      </c>
      <c r="B23" s="13" t="n">
        <v>22</v>
      </c>
      <c r="C23" s="17" t="n">
        <f aca="false">B23/100*Notas!$B$3</f>
        <v>20.9</v>
      </c>
      <c r="D23" s="17" t="n">
        <f aca="false">30.95/95*Notas!$B$3</f>
        <v>30.95</v>
      </c>
      <c r="E23" s="17" t="n">
        <f aca="false">14.97/95*Notas!$B$3</f>
        <v>14.97</v>
      </c>
      <c r="F23" s="13" t="n">
        <v>2</v>
      </c>
      <c r="G23" s="17" t="n">
        <f aca="false">14.41/95*Notas!$B$3</f>
        <v>14.41</v>
      </c>
      <c r="H23" s="17" t="n">
        <f aca="false">14.87/95*Notas!$B$3</f>
        <v>14.87</v>
      </c>
      <c r="I23" s="17" t="n">
        <f aca="false">45.44/95*Notas!$B$3</f>
        <v>45.44</v>
      </c>
      <c r="J23" s="17" t="n">
        <f aca="false">89.69/95*Notas!$B$3</f>
        <v>89.69</v>
      </c>
    </row>
    <row r="24" customFormat="false" ht="15" hidden="false" customHeight="false" outlineLevel="0" collapsed="false">
      <c r="A24" s="13" t="s">
        <v>225</v>
      </c>
      <c r="B24" s="13" t="n">
        <v>23</v>
      </c>
      <c r="C24" s="17" t="n">
        <f aca="false">B24/100*Notas!$B$3</f>
        <v>21.85</v>
      </c>
      <c r="D24" s="17" t="n">
        <f aca="false">30.71/95*Notas!$B$3</f>
        <v>30.71</v>
      </c>
      <c r="E24" s="17" t="n">
        <f aca="false">15.13/95*Notas!$B$3</f>
        <v>15.13</v>
      </c>
      <c r="F24" s="13" t="n">
        <v>2</v>
      </c>
      <c r="G24" s="17" t="n">
        <f aca="false">14.46/95*Notas!$B$3</f>
        <v>14.46</v>
      </c>
      <c r="H24" s="17" t="n">
        <f aca="false">14.97/95*Notas!$B$3</f>
        <v>14.97</v>
      </c>
      <c r="I24" s="17" t="n">
        <f aca="false">45.76/95*Notas!$B$3</f>
        <v>45.76</v>
      </c>
      <c r="J24" s="17" t="n">
        <f aca="false">90.43/95*Notas!$B$3</f>
        <v>90.43</v>
      </c>
    </row>
    <row r="25" customFormat="false" ht="15" hidden="false" customHeight="false" outlineLevel="0" collapsed="false">
      <c r="A25" s="13" t="s">
        <v>225</v>
      </c>
      <c r="B25" s="13" t="n">
        <v>24</v>
      </c>
      <c r="C25" s="17" t="n">
        <f aca="false">B25/100*Notas!$B$3</f>
        <v>22.8</v>
      </c>
      <c r="D25" s="17" t="n">
        <f aca="false">30.47/95*Notas!$B$3</f>
        <v>30.47</v>
      </c>
      <c r="E25" s="17" t="n">
        <f aca="false">15.3/95*Notas!$B$3</f>
        <v>15.3</v>
      </c>
      <c r="F25" s="13" t="n">
        <v>1</v>
      </c>
      <c r="G25" s="17" t="n">
        <f aca="false">30.47/95*Notas!$B$3</f>
        <v>30.47</v>
      </c>
      <c r="H25" s="17" t="n">
        <f aca="false">15.3/95*Notas!$B$3</f>
        <v>15.3</v>
      </c>
      <c r="I25" s="17" t="n">
        <f aca="false">81.45/95*Notas!$B$3</f>
        <v>81.45</v>
      </c>
      <c r="J25" s="17" t="n">
        <f aca="false">81.45/95*Notas!$B$3</f>
        <v>81.45</v>
      </c>
    </row>
    <row r="26" customFormat="false" ht="15" hidden="false" customHeight="false" outlineLevel="0" collapsed="false">
      <c r="A26" s="13" t="s">
        <v>225</v>
      </c>
      <c r="B26" s="13" t="n">
        <v>25</v>
      </c>
      <c r="C26" s="17" t="n">
        <f aca="false">B26/100*Notas!$B$3</f>
        <v>23.75</v>
      </c>
      <c r="D26" s="17" t="n">
        <f aca="false">30.54/95*Notas!$B$3</f>
        <v>30.54</v>
      </c>
      <c r="E26" s="17" t="n">
        <f aca="false">15.99/95*Notas!$B$3</f>
        <v>15.99</v>
      </c>
      <c r="F26" s="13" t="n">
        <v>1</v>
      </c>
      <c r="G26" s="17" t="n">
        <f aca="false">30.54/95*Notas!$B$3</f>
        <v>30.54</v>
      </c>
      <c r="H26" s="17" t="n">
        <f aca="false">15.99/95*Notas!$B$3</f>
        <v>15.99</v>
      </c>
      <c r="I26" s="17" t="n">
        <f aca="false">78.39/95*Notas!$B$3</f>
        <v>78.39</v>
      </c>
      <c r="J26" s="17" t="n">
        <f aca="false">78.39/95*Notas!$B$3</f>
        <v>78.39</v>
      </c>
    </row>
    <row r="27" customFormat="false" ht="15" hidden="false" customHeight="false" outlineLevel="0" collapsed="false">
      <c r="A27" s="13" t="s">
        <v>225</v>
      </c>
      <c r="B27" s="13" t="n">
        <v>26</v>
      </c>
      <c r="C27" s="17" t="n">
        <f aca="false">B27/100*Notas!$B$3</f>
        <v>24.7</v>
      </c>
      <c r="D27" s="17" t="n">
        <f aca="false">31.9/95*Notas!$B$3</f>
        <v>31.9</v>
      </c>
      <c r="E27" s="17" t="n">
        <f aca="false">17.42/95*Notas!$B$3</f>
        <v>17.42</v>
      </c>
      <c r="F27" s="13" t="n">
        <v>1</v>
      </c>
      <c r="G27" s="17" t="n">
        <f aca="false">31.9/95*Notas!$B$3</f>
        <v>31.9</v>
      </c>
      <c r="H27" s="17" t="n">
        <f aca="false">17.42/95*Notas!$B$3</f>
        <v>17.42</v>
      </c>
      <c r="I27" s="17" t="n">
        <f aca="false">82.67/95*Notas!$B$3</f>
        <v>82.67</v>
      </c>
      <c r="J27" s="17" t="n">
        <f aca="false">82.67/95*Notas!$B$3</f>
        <v>82.67</v>
      </c>
    </row>
    <row r="28" customFormat="false" ht="15" hidden="false" customHeight="false" outlineLevel="0" collapsed="false">
      <c r="A28" s="13" t="s">
        <v>225</v>
      </c>
      <c r="B28" s="13" t="n">
        <v>27</v>
      </c>
      <c r="C28" s="17" t="n">
        <f aca="false">B28/100*Notas!$B$3</f>
        <v>25.65</v>
      </c>
      <c r="D28" s="17" t="n">
        <f aca="false">31.34/95*Notas!$B$3</f>
        <v>31.34</v>
      </c>
      <c r="E28" s="17" t="n">
        <f aca="false">16.95/95*Notas!$B$3</f>
        <v>16.95</v>
      </c>
      <c r="F28" s="13" t="n">
        <v>1</v>
      </c>
      <c r="G28" s="17" t="n">
        <f aca="false">31.34/95*Notas!$B$3</f>
        <v>31.34</v>
      </c>
      <c r="H28" s="17" t="n">
        <f aca="false">16.95/95*Notas!$B$3</f>
        <v>16.95</v>
      </c>
      <c r="I28" s="17" t="n">
        <f aca="false">80.78/95*Notas!$B$3</f>
        <v>80.78</v>
      </c>
      <c r="J28" s="17" t="n">
        <f aca="false">80.78/95*Notas!$B$3</f>
        <v>80.78</v>
      </c>
    </row>
    <row r="29" customFormat="false" ht="15" hidden="false" customHeight="false" outlineLevel="0" collapsed="false">
      <c r="A29" s="13" t="s">
        <v>225</v>
      </c>
      <c r="B29" s="13" t="n">
        <v>28</v>
      </c>
      <c r="C29" s="17" t="n">
        <f aca="false">B29/100*Notas!$B$3</f>
        <v>26.6</v>
      </c>
      <c r="D29" s="17" t="n">
        <f aca="false">30.71/95*Notas!$B$3</f>
        <v>30.71</v>
      </c>
      <c r="E29" s="17" t="n">
        <f aca="false">16.48/95*Notas!$B$3</f>
        <v>16.48</v>
      </c>
      <c r="F29" s="13" t="n">
        <v>1</v>
      </c>
      <c r="G29" s="17" t="n">
        <f aca="false">30.71/95*Notas!$B$3</f>
        <v>30.71</v>
      </c>
      <c r="H29" s="17" t="n">
        <f aca="false">16.48/95*Notas!$B$3</f>
        <v>16.48</v>
      </c>
      <c r="I29" s="17" t="n">
        <f aca="false">78.88/95*Notas!$B$3</f>
        <v>78.88</v>
      </c>
      <c r="J29" s="17" t="n">
        <f aca="false">78.88/95*Notas!$B$3</f>
        <v>78.88</v>
      </c>
    </row>
    <row r="30" customFormat="false" ht="15" hidden="false" customHeight="false" outlineLevel="0" collapsed="false">
      <c r="A30" s="13" t="s">
        <v>225</v>
      </c>
      <c r="B30" s="13" t="n">
        <v>29</v>
      </c>
      <c r="C30" s="17" t="n">
        <f aca="false">B30/100*Notas!$B$3</f>
        <v>27.55</v>
      </c>
      <c r="D30" s="17" t="n">
        <f aca="false">30.08/95*Notas!$B$3</f>
        <v>30.08</v>
      </c>
      <c r="E30" s="17" t="n">
        <f aca="false">16/95*Notas!$B$3</f>
        <v>16</v>
      </c>
      <c r="F30" s="13" t="n">
        <v>1</v>
      </c>
      <c r="G30" s="17" t="n">
        <f aca="false">30.08/95*Notas!$B$3</f>
        <v>30.08</v>
      </c>
      <c r="H30" s="17" t="n">
        <f aca="false">16/95*Notas!$B$3</f>
        <v>16</v>
      </c>
      <c r="I30" s="17" t="n">
        <f aca="false">77.05/95*Notas!$B$3</f>
        <v>77.05</v>
      </c>
      <c r="J30" s="17" t="n">
        <f aca="false">77.05/95*Notas!$B$3</f>
        <v>77.05</v>
      </c>
    </row>
    <row r="31" customFormat="false" ht="15" hidden="false" customHeight="false" outlineLevel="0" collapsed="false">
      <c r="A31" s="13" t="s">
        <v>225</v>
      </c>
      <c r="B31" s="13" t="n">
        <v>30</v>
      </c>
      <c r="C31" s="17" t="n">
        <f aca="false">B31/100*Notas!$B$3</f>
        <v>28.5</v>
      </c>
      <c r="D31" s="17" t="n">
        <f aca="false">29.44/95*Notas!$B$3</f>
        <v>29.44</v>
      </c>
      <c r="E31" s="17" t="n">
        <f aca="false">15.7/95*Notas!$B$3</f>
        <v>15.7</v>
      </c>
      <c r="F31" s="13" t="n">
        <v>1</v>
      </c>
      <c r="G31" s="17" t="n">
        <f aca="false">29.44/95*Notas!$B$3</f>
        <v>29.44</v>
      </c>
      <c r="H31" s="17" t="n">
        <f aca="false">15.7/95*Notas!$B$3</f>
        <v>15.7</v>
      </c>
      <c r="I31" s="17" t="n">
        <f aca="false">75.25/95*Notas!$B$3</f>
        <v>75.25</v>
      </c>
      <c r="J31" s="17" t="n">
        <f aca="false">75.25/95*Notas!$B$3</f>
        <v>75.25</v>
      </c>
    </row>
    <row r="32" customFormat="false" ht="15" hidden="false" customHeight="false" outlineLevel="0" collapsed="false">
      <c r="A32" s="13" t="s">
        <v>225</v>
      </c>
      <c r="B32" s="13" t="n">
        <v>31</v>
      </c>
      <c r="C32" s="17" t="n">
        <f aca="false">B32/100*Notas!$B$3</f>
        <v>29.45</v>
      </c>
      <c r="D32" s="17" t="n">
        <f aca="false">28.79/95*Notas!$B$3</f>
        <v>28.79</v>
      </c>
      <c r="E32" s="17" t="n">
        <f aca="false">20.23/95*Notas!$B$3</f>
        <v>20.23</v>
      </c>
      <c r="F32" s="13" t="n">
        <v>2</v>
      </c>
      <c r="G32" s="17" t="n">
        <f aca="false">0.19/95*Notas!$B$3</f>
        <v>0.19</v>
      </c>
      <c r="H32" s="17" t="n">
        <f aca="false">1.19/95*Notas!$B$3</f>
        <v>1.19</v>
      </c>
      <c r="I32" s="17" t="n">
        <f aca="false">2.56/95*Notas!$B$3</f>
        <v>2.56</v>
      </c>
      <c r="J32" s="17" t="n">
        <f aca="false">76.04/95*Notas!$B$3</f>
        <v>76.04</v>
      </c>
    </row>
    <row r="33" customFormat="false" ht="15" hidden="false" customHeight="false" outlineLevel="0" collapsed="false">
      <c r="A33" s="13" t="s">
        <v>225</v>
      </c>
      <c r="B33" s="13" t="n">
        <v>32</v>
      </c>
      <c r="C33" s="17" t="n">
        <f aca="false">B33/100*Notas!$B$3</f>
        <v>30.4</v>
      </c>
      <c r="D33" s="17" t="n">
        <f aca="false">28.14/95*Notas!$B$3</f>
        <v>28.14</v>
      </c>
      <c r="E33" s="17" t="n">
        <f aca="false">23.52/95*Notas!$B$3</f>
        <v>23.52</v>
      </c>
      <c r="F33" s="13" t="n">
        <v>1</v>
      </c>
      <c r="G33" s="17" t="n">
        <f aca="false">28.14/95*Notas!$B$3</f>
        <v>28.14</v>
      </c>
      <c r="H33" s="17" t="n">
        <f aca="false">23.52/95*Notas!$B$3</f>
        <v>23.52</v>
      </c>
      <c r="I33" s="17" t="n">
        <f aca="false">91.28/95*Notas!$B$3</f>
        <v>91.28</v>
      </c>
      <c r="J33" s="17" t="n">
        <f aca="false">91.28/95*Notas!$B$3</f>
        <v>91.28</v>
      </c>
    </row>
    <row r="34" customFormat="false" ht="15" hidden="false" customHeight="false" outlineLevel="0" collapsed="false">
      <c r="A34" s="13" t="s">
        <v>225</v>
      </c>
      <c r="B34" s="13" t="n">
        <v>33</v>
      </c>
      <c r="C34" s="17" t="n">
        <f aca="false">B34/100*Notas!$B$3</f>
        <v>31.35</v>
      </c>
      <c r="D34" s="17" t="n">
        <f aca="false">27.48/95*Notas!$B$3</f>
        <v>27.48</v>
      </c>
      <c r="E34" s="17" t="n">
        <f aca="false">22.12/95*Notas!$B$3</f>
        <v>22.12</v>
      </c>
      <c r="F34" s="13" t="n">
        <v>1</v>
      </c>
      <c r="G34" s="17" t="n">
        <f aca="false">27.48/95*Notas!$B$3</f>
        <v>27.48</v>
      </c>
      <c r="H34" s="17" t="n">
        <f aca="false">22.12/95*Notas!$B$3</f>
        <v>22.12</v>
      </c>
      <c r="I34" s="17" t="n">
        <f aca="false">84.34/95*Notas!$B$3</f>
        <v>84.34</v>
      </c>
      <c r="J34" s="17" t="n">
        <f aca="false">84.34/95*Notas!$B$3</f>
        <v>84.34</v>
      </c>
    </row>
    <row r="35" customFormat="false" ht="15" hidden="false" customHeight="false" outlineLevel="0" collapsed="false">
      <c r="A35" s="13" t="s">
        <v>225</v>
      </c>
      <c r="B35" s="13" t="n">
        <v>34</v>
      </c>
      <c r="C35" s="17" t="n">
        <f aca="false">B35/100*Notas!$B$3</f>
        <v>32.3</v>
      </c>
      <c r="D35" s="17" t="n">
        <f aca="false">26.84/95*Notas!$B$3</f>
        <v>26.84</v>
      </c>
      <c r="E35" s="17" t="n">
        <f aca="false">20.72/95*Notas!$B$3</f>
        <v>20.72</v>
      </c>
      <c r="F35" s="13" t="n">
        <v>1</v>
      </c>
      <c r="G35" s="17" t="n">
        <f aca="false">26.84/95*Notas!$B$3</f>
        <v>26.84</v>
      </c>
      <c r="H35" s="17" t="n">
        <f aca="false">20.72/95*Notas!$B$3</f>
        <v>20.72</v>
      </c>
      <c r="I35" s="17" t="n">
        <f aca="false">78.1/95*Notas!$B$3</f>
        <v>78.1</v>
      </c>
      <c r="J35" s="17" t="n">
        <f aca="false">78.1/95*Notas!$B$3</f>
        <v>78.1</v>
      </c>
    </row>
    <row r="36" customFormat="false" ht="15" hidden="false" customHeight="false" outlineLevel="0" collapsed="false">
      <c r="A36" s="13" t="s">
        <v>225</v>
      </c>
      <c r="B36" s="13" t="n">
        <v>35</v>
      </c>
      <c r="C36" s="17" t="n">
        <f aca="false">B36/100*Notas!$B$3</f>
        <v>33.25</v>
      </c>
      <c r="D36" s="17" t="n">
        <f aca="false">26.2/95*Notas!$B$3</f>
        <v>26.2</v>
      </c>
      <c r="E36" s="17" t="n">
        <f aca="false">19.33/95*Notas!$B$3</f>
        <v>19.33</v>
      </c>
      <c r="F36" s="13" t="n">
        <v>1</v>
      </c>
      <c r="G36" s="17" t="n">
        <f aca="false">26.2/95*Notas!$B$3</f>
        <v>26.2</v>
      </c>
      <c r="H36" s="17" t="n">
        <f aca="false">19.33/95*Notas!$B$3</f>
        <v>19.33</v>
      </c>
      <c r="I36" s="17" t="n">
        <f aca="false">74.23/95*Notas!$B$3</f>
        <v>74.23</v>
      </c>
      <c r="J36" s="17" t="n">
        <f aca="false">74.23/95*Notas!$B$3</f>
        <v>74.23</v>
      </c>
    </row>
    <row r="37" customFormat="false" ht="15" hidden="false" customHeight="false" outlineLevel="0" collapsed="false">
      <c r="A37" s="13" t="s">
        <v>225</v>
      </c>
      <c r="B37" s="13" t="n">
        <v>36</v>
      </c>
      <c r="C37" s="17" t="n">
        <f aca="false">B37/100*Notas!$B$3</f>
        <v>34.2</v>
      </c>
      <c r="D37" s="17" t="n">
        <f aca="false">26.32/95*Notas!$B$3</f>
        <v>26.32</v>
      </c>
      <c r="E37" s="17" t="n">
        <f aca="false">17.96/95*Notas!$B$3</f>
        <v>17.96</v>
      </c>
      <c r="F37" s="13" t="n">
        <v>1</v>
      </c>
      <c r="G37" s="17" t="n">
        <f aca="false">26.32/95*Notas!$B$3</f>
        <v>26.32</v>
      </c>
      <c r="H37" s="17" t="n">
        <f aca="false">17.96/95*Notas!$B$3</f>
        <v>17.96</v>
      </c>
      <c r="I37" s="17" t="n">
        <f aca="false">76.59/95*Notas!$B$3</f>
        <v>76.59</v>
      </c>
      <c r="J37" s="17" t="n">
        <f aca="false">76.59/95*Notas!$B$3</f>
        <v>76.59</v>
      </c>
    </row>
    <row r="38" customFormat="false" ht="15" hidden="false" customHeight="false" outlineLevel="0" collapsed="false">
      <c r="A38" s="13" t="s">
        <v>225</v>
      </c>
      <c r="B38" s="13" t="n">
        <v>37</v>
      </c>
      <c r="C38" s="17" t="n">
        <f aca="false">B38/100*Notas!$B$3</f>
        <v>35.15</v>
      </c>
      <c r="D38" s="17" t="n">
        <f aca="false">27.05/95*Notas!$B$3</f>
        <v>27.05</v>
      </c>
      <c r="E38" s="17" t="n">
        <f aca="false">18.53/95*Notas!$B$3</f>
        <v>18.53</v>
      </c>
      <c r="F38" s="13" t="n">
        <v>1</v>
      </c>
      <c r="G38" s="17" t="n">
        <f aca="false">27.05/95*Notas!$B$3</f>
        <v>27.05</v>
      </c>
      <c r="H38" s="17" t="n">
        <f aca="false">18.53/95*Notas!$B$3</f>
        <v>18.53</v>
      </c>
      <c r="I38" s="17" t="n">
        <f aca="false">80.21/95*Notas!$B$3</f>
        <v>80.21</v>
      </c>
      <c r="J38" s="17" t="n">
        <f aca="false">80.21/95*Notas!$B$3</f>
        <v>80.21</v>
      </c>
    </row>
    <row r="39" customFormat="false" ht="15" hidden="false" customHeight="false" outlineLevel="0" collapsed="false">
      <c r="A39" s="13" t="s">
        <v>225</v>
      </c>
      <c r="B39" s="13" t="n">
        <v>38</v>
      </c>
      <c r="C39" s="17" t="n">
        <f aca="false">B39/100*Notas!$B$3</f>
        <v>36.1</v>
      </c>
      <c r="D39" s="17" t="n">
        <f aca="false">26.4/95*Notas!$B$3</f>
        <v>26.4</v>
      </c>
      <c r="E39" s="17" t="n">
        <f aca="false">18.59/95*Notas!$B$3</f>
        <v>18.59</v>
      </c>
      <c r="F39" s="13" t="n">
        <v>1</v>
      </c>
      <c r="G39" s="17" t="n">
        <f aca="false">26.4/95*Notas!$B$3</f>
        <v>26.4</v>
      </c>
      <c r="H39" s="17" t="n">
        <f aca="false">18.59/95*Notas!$B$3</f>
        <v>18.59</v>
      </c>
      <c r="I39" s="17" t="n">
        <f aca="false">80.8/95*Notas!$B$3</f>
        <v>80.8</v>
      </c>
      <c r="J39" s="17" t="n">
        <f aca="false">80.8/95*Notas!$B$3</f>
        <v>80.8</v>
      </c>
    </row>
    <row r="40" customFormat="false" ht="15" hidden="false" customHeight="false" outlineLevel="0" collapsed="false">
      <c r="A40" s="13" t="s">
        <v>225</v>
      </c>
      <c r="B40" s="13" t="n">
        <v>39</v>
      </c>
      <c r="C40" s="17" t="n">
        <f aca="false">B40/100*Notas!$B$3</f>
        <v>37.05</v>
      </c>
      <c r="D40" s="17" t="n">
        <f aca="false">25.75/95*Notas!$B$3</f>
        <v>25.75</v>
      </c>
      <c r="E40" s="17" t="n">
        <f aca="false">17.96/95*Notas!$B$3</f>
        <v>17.96</v>
      </c>
      <c r="F40" s="13" t="n">
        <v>1</v>
      </c>
      <c r="G40" s="17" t="n">
        <f aca="false">25.75/95*Notas!$B$3</f>
        <v>25.75</v>
      </c>
      <c r="H40" s="17" t="n">
        <f aca="false">17.96/95*Notas!$B$3</f>
        <v>17.96</v>
      </c>
      <c r="I40" s="17" t="n">
        <f aca="false">78.93/95*Notas!$B$3</f>
        <v>78.93</v>
      </c>
      <c r="J40" s="17" t="n">
        <f aca="false">78.93/95*Notas!$B$3</f>
        <v>78.93</v>
      </c>
    </row>
    <row r="41" customFormat="false" ht="15" hidden="false" customHeight="false" outlineLevel="0" collapsed="false">
      <c r="A41" s="13" t="s">
        <v>225</v>
      </c>
      <c r="B41" s="13" t="n">
        <v>40</v>
      </c>
      <c r="C41" s="17" t="n">
        <f aca="false">B41/100*Notas!$B$3</f>
        <v>38</v>
      </c>
      <c r="D41" s="17" t="n">
        <f aca="false">25.16/95*Notas!$B$3</f>
        <v>25.16</v>
      </c>
      <c r="E41" s="17" t="n">
        <f aca="false">17.29/95*Notas!$B$3</f>
        <v>17.29</v>
      </c>
      <c r="F41" s="13" t="n">
        <v>1</v>
      </c>
      <c r="G41" s="17" t="n">
        <f aca="false">25.16/95*Notas!$B$3</f>
        <v>25.16</v>
      </c>
      <c r="H41" s="17" t="n">
        <f aca="false">17.29/95*Notas!$B$3</f>
        <v>17.29</v>
      </c>
      <c r="I41" s="17" t="n">
        <f aca="false">76.93/95*Notas!$B$3</f>
        <v>76.93</v>
      </c>
      <c r="J41" s="17" t="n">
        <f aca="false">76.93/95*Notas!$B$3</f>
        <v>76.93</v>
      </c>
    </row>
    <row r="42" customFormat="false" ht="15" hidden="false" customHeight="false" outlineLevel="0" collapsed="false">
      <c r="A42" s="13" t="s">
        <v>225</v>
      </c>
      <c r="B42" s="13" t="n">
        <v>41</v>
      </c>
      <c r="C42" s="17" t="n">
        <f aca="false">B42/100*Notas!$B$3</f>
        <v>38.95</v>
      </c>
      <c r="D42" s="17" t="n">
        <f aca="false">24.61/95*Notas!$B$3</f>
        <v>24.61</v>
      </c>
      <c r="E42" s="17" t="n">
        <f aca="false">12.62/95*Notas!$B$3</f>
        <v>12.62</v>
      </c>
      <c r="F42" s="13" t="n">
        <v>1</v>
      </c>
      <c r="G42" s="17" t="n">
        <f aca="false">24.61/95*Notas!$B$3</f>
        <v>24.61</v>
      </c>
      <c r="H42" s="17" t="n">
        <f aca="false">12.62/95*Notas!$B$3</f>
        <v>12.62</v>
      </c>
      <c r="I42" s="17" t="n">
        <f aca="false">68.34/95*Notas!$B$3</f>
        <v>68.34</v>
      </c>
      <c r="J42" s="17" t="n">
        <f aca="false">68.34/95*Notas!$B$3</f>
        <v>68.34</v>
      </c>
    </row>
    <row r="43" customFormat="false" ht="15" hidden="false" customHeight="false" outlineLevel="0" collapsed="false">
      <c r="A43" s="13" t="s">
        <v>225</v>
      </c>
      <c r="B43" s="13" t="n">
        <v>42</v>
      </c>
      <c r="C43" s="17" t="n">
        <f aca="false">B43/100*Notas!$B$3</f>
        <v>39.9</v>
      </c>
      <c r="D43" s="17" t="n">
        <f aca="false">30.1/95*Notas!$B$3</f>
        <v>30.1</v>
      </c>
      <c r="E43" s="17" t="n">
        <f aca="false">13.01/95*Notas!$B$3</f>
        <v>13.01</v>
      </c>
      <c r="F43" s="13" t="n">
        <v>1</v>
      </c>
      <c r="G43" s="17" t="n">
        <f aca="false">30.1/95*Notas!$B$3</f>
        <v>30.1</v>
      </c>
      <c r="H43" s="17" t="n">
        <f aca="false">13.01/95*Notas!$B$3</f>
        <v>13.01</v>
      </c>
      <c r="I43" s="17" t="n">
        <f aca="false">76.32/95*Notas!$B$3</f>
        <v>76.32</v>
      </c>
      <c r="J43" s="17" t="n">
        <f aca="false">76.32/95*Notas!$B$3</f>
        <v>76.32</v>
      </c>
    </row>
    <row r="44" customFormat="false" ht="15" hidden="false" customHeight="false" outlineLevel="0" collapsed="false">
      <c r="A44" s="13" t="s">
        <v>225</v>
      </c>
      <c r="B44" s="13" t="n">
        <v>43</v>
      </c>
      <c r="C44" s="17" t="n">
        <f aca="false">B44/100*Notas!$B$3</f>
        <v>40.85</v>
      </c>
      <c r="D44" s="17" t="n">
        <f aca="false">59.33/95*Notas!$B$3</f>
        <v>59.33</v>
      </c>
      <c r="E44" s="17" t="n">
        <f aca="false">13.32/95*Notas!$B$3</f>
        <v>13.32</v>
      </c>
      <c r="F44" s="13" t="n">
        <v>3</v>
      </c>
      <c r="G44" s="17" t="n">
        <f aca="false">40.7/95*Notas!$B$3</f>
        <v>40.7</v>
      </c>
      <c r="H44" s="17" t="n">
        <f aca="false">13.32/95*Notas!$B$3</f>
        <v>13.32</v>
      </c>
      <c r="I44" s="17" t="n">
        <f aca="false">94.27/95*Notas!$B$3</f>
        <v>94.27</v>
      </c>
      <c r="J44" s="17" t="n">
        <f aca="false">119.5/95*Notas!$B$3</f>
        <v>119.5</v>
      </c>
    </row>
    <row r="45" customFormat="false" ht="15" hidden="false" customHeight="false" outlineLevel="0" collapsed="false">
      <c r="A45" s="13" t="s">
        <v>225</v>
      </c>
      <c r="B45" s="13" t="n">
        <v>44</v>
      </c>
      <c r="C45" s="17" t="n">
        <f aca="false">B45/100*Notas!$B$3</f>
        <v>41.8</v>
      </c>
      <c r="D45" s="17" t="n">
        <f aca="false">73.97/95*Notas!$B$3</f>
        <v>73.97</v>
      </c>
      <c r="E45" s="17" t="n">
        <f aca="false">13.62/95*Notas!$B$3</f>
        <v>13.62</v>
      </c>
      <c r="F45" s="13" t="n">
        <v>3</v>
      </c>
      <c r="G45" s="17" t="n">
        <f aca="false">55.06/95*Notas!$B$3</f>
        <v>55.06</v>
      </c>
      <c r="H45" s="17" t="n">
        <f aca="false">13.62/95*Notas!$B$3</f>
        <v>13.62</v>
      </c>
      <c r="I45" s="17" t="n">
        <f aca="false">137.53/95*Notas!$B$3</f>
        <v>137.53</v>
      </c>
      <c r="J45" s="17" t="n">
        <f aca="false">166.65/95*Notas!$B$3</f>
        <v>166.65</v>
      </c>
    </row>
    <row r="46" customFormat="false" ht="15" hidden="false" customHeight="false" outlineLevel="0" collapsed="false">
      <c r="A46" s="13" t="s">
        <v>225</v>
      </c>
      <c r="B46" s="13" t="n">
        <v>45</v>
      </c>
      <c r="C46" s="17" t="n">
        <f aca="false">B46/100*Notas!$B$3</f>
        <v>42.75</v>
      </c>
      <c r="D46" s="17" t="n">
        <f aca="false">87.22/95*Notas!$B$3</f>
        <v>87.22</v>
      </c>
      <c r="E46" s="17" t="n">
        <f aca="false">13.88/95*Notas!$B$3</f>
        <v>13.88</v>
      </c>
      <c r="F46" s="13" t="n">
        <v>2</v>
      </c>
      <c r="G46" s="17" t="n">
        <f aca="false">74.11/95*Notas!$B$3</f>
        <v>74.11</v>
      </c>
      <c r="H46" s="17" t="n">
        <f aca="false">13.88/95*Notas!$B$3</f>
        <v>13.88</v>
      </c>
      <c r="I46" s="17" t="n">
        <f aca="false">185.05/95*Notas!$B$3</f>
        <v>185.05</v>
      </c>
      <c r="J46" s="17" t="n">
        <f aca="false">199.04/95*Notas!$B$3</f>
        <v>199.04</v>
      </c>
    </row>
    <row r="47" customFormat="false" ht="15" hidden="false" customHeight="false" outlineLevel="0" collapsed="false">
      <c r="A47" s="13" t="s">
        <v>225</v>
      </c>
      <c r="B47" s="13" t="n">
        <v>46</v>
      </c>
      <c r="C47" s="17" t="n">
        <f aca="false">B47/100*Notas!$B$3</f>
        <v>43.7</v>
      </c>
      <c r="D47" s="17" t="n">
        <f aca="false">87.15/95*Notas!$B$3</f>
        <v>87.15</v>
      </c>
      <c r="E47" s="17" t="n">
        <f aca="false">14.11/95*Notas!$B$3</f>
        <v>14.11</v>
      </c>
      <c r="F47" s="13" t="n">
        <v>1</v>
      </c>
      <c r="G47" s="17" t="n">
        <f aca="false">87.15/95*Notas!$B$3</f>
        <v>87.15</v>
      </c>
      <c r="H47" s="17" t="n">
        <f aca="false">14.11/95*Notas!$B$3</f>
        <v>14.11</v>
      </c>
      <c r="I47" s="17" t="n">
        <f aca="false">206.45/95*Notas!$B$3</f>
        <v>206.45</v>
      </c>
      <c r="J47" s="17" t="n">
        <f aca="false">206.45/95*Notas!$B$3</f>
        <v>206.45</v>
      </c>
    </row>
    <row r="48" customFormat="false" ht="15" hidden="false" customHeight="false" outlineLevel="0" collapsed="false">
      <c r="A48" s="13" t="s">
        <v>225</v>
      </c>
      <c r="B48" s="13" t="n">
        <v>47</v>
      </c>
      <c r="C48" s="17" t="n">
        <f aca="false">B48/100*Notas!$B$3</f>
        <v>44.65</v>
      </c>
      <c r="D48" s="17" t="n">
        <f aca="false">85.35/95*Notas!$B$3</f>
        <v>85.35</v>
      </c>
      <c r="E48" s="17" t="n">
        <f aca="false">14.32/95*Notas!$B$3</f>
        <v>14.32</v>
      </c>
      <c r="F48" s="13" t="n">
        <v>1</v>
      </c>
      <c r="G48" s="17" t="n">
        <f aca="false">85.35/95*Notas!$B$3</f>
        <v>85.35</v>
      </c>
      <c r="H48" s="17" t="n">
        <f aca="false">14.32/95*Notas!$B$3</f>
        <v>14.32</v>
      </c>
      <c r="I48" s="17" t="n">
        <f aca="false">205.64/95*Notas!$B$3</f>
        <v>205.64</v>
      </c>
      <c r="J48" s="17" t="n">
        <f aca="false">205.64/95*Notas!$B$3</f>
        <v>205.64</v>
      </c>
    </row>
    <row r="49" customFormat="false" ht="15" hidden="false" customHeight="false" outlineLevel="0" collapsed="false">
      <c r="A49" s="13" t="s">
        <v>225</v>
      </c>
      <c r="B49" s="13" t="n">
        <v>48</v>
      </c>
      <c r="C49" s="17" t="n">
        <f aca="false">B49/100*Notas!$B$3</f>
        <v>45.6</v>
      </c>
      <c r="D49" s="17" t="n">
        <f aca="false">83.71/95*Notas!$B$3</f>
        <v>83.71</v>
      </c>
      <c r="E49" s="17" t="n">
        <f aca="false">14.52/95*Notas!$B$3</f>
        <v>14.52</v>
      </c>
      <c r="F49" s="13" t="n">
        <v>1</v>
      </c>
      <c r="G49" s="17" t="n">
        <f aca="false">83.71/95*Notas!$B$3</f>
        <v>83.71</v>
      </c>
      <c r="H49" s="17" t="n">
        <f aca="false">14.52/95*Notas!$B$3</f>
        <v>14.52</v>
      </c>
      <c r="I49" s="17" t="n">
        <f aca="false">208.48/95*Notas!$B$3</f>
        <v>208.48</v>
      </c>
      <c r="J49" s="17" t="n">
        <f aca="false">208.48/95*Notas!$B$3</f>
        <v>208.48</v>
      </c>
    </row>
    <row r="50" customFormat="false" ht="15" hidden="false" customHeight="false" outlineLevel="0" collapsed="false">
      <c r="A50" s="13" t="s">
        <v>225</v>
      </c>
      <c r="B50" s="13" t="n">
        <v>49</v>
      </c>
      <c r="C50" s="17" t="n">
        <f aca="false">B50/100*Notas!$B$3</f>
        <v>46.55</v>
      </c>
      <c r="D50" s="17" t="n">
        <f aca="false">98.46/95*Notas!$B$3</f>
        <v>98.46</v>
      </c>
      <c r="E50" s="17" t="n">
        <f aca="false">14.72/95*Notas!$B$3</f>
        <v>14.72</v>
      </c>
      <c r="F50" s="13" t="n">
        <v>1</v>
      </c>
      <c r="G50" s="17" t="n">
        <f aca="false">98.46/95*Notas!$B$3</f>
        <v>98.46</v>
      </c>
      <c r="H50" s="17" t="n">
        <f aca="false">14.72/95*Notas!$B$3</f>
        <v>14.72</v>
      </c>
      <c r="I50" s="17" t="n">
        <f aca="false">237.85/95*Notas!$B$3</f>
        <v>237.85</v>
      </c>
      <c r="J50" s="17" t="n">
        <f aca="false">237.85/95*Notas!$B$3</f>
        <v>237.85</v>
      </c>
    </row>
    <row r="51" customFormat="false" ht="15" hidden="false" customHeight="false" outlineLevel="0" collapsed="false">
      <c r="A51" s="13" t="s">
        <v>225</v>
      </c>
      <c r="B51" s="13" t="n">
        <v>50</v>
      </c>
      <c r="C51" s="17" t="n">
        <f aca="false">B51/100*Notas!$B$3</f>
        <v>47.5</v>
      </c>
      <c r="D51" s="17" t="n">
        <f aca="false">98.71/95*Notas!$B$3</f>
        <v>98.71</v>
      </c>
      <c r="E51" s="17" t="n">
        <f aca="false">14.76/95*Notas!$B$3</f>
        <v>14.76</v>
      </c>
      <c r="F51" s="13" t="n">
        <v>1</v>
      </c>
      <c r="G51" s="17" t="n">
        <f aca="false">98.71/95*Notas!$B$3</f>
        <v>98.71</v>
      </c>
      <c r="H51" s="17" t="n">
        <f aca="false">14.76/95*Notas!$B$3</f>
        <v>14.76</v>
      </c>
      <c r="I51" s="17" t="n">
        <f aca="false">240.76/95*Notas!$B$3</f>
        <v>240.76</v>
      </c>
      <c r="J51" s="17" t="n">
        <f aca="false">240.76/95*Notas!$B$3</f>
        <v>240.76</v>
      </c>
    </row>
    <row r="52" customFormat="false" ht="15" hidden="false" customHeight="false" outlineLevel="0" collapsed="false">
      <c r="A52" s="13" t="s">
        <v>225</v>
      </c>
      <c r="B52" s="13" t="n">
        <v>51</v>
      </c>
      <c r="C52" s="17" t="n">
        <f aca="false">B52/100*Notas!$B$3</f>
        <v>48.45</v>
      </c>
      <c r="D52" s="17" t="n">
        <f aca="false">98.86/95*Notas!$B$3</f>
        <v>98.86</v>
      </c>
      <c r="E52" s="17" t="n">
        <f aca="false">14.42/95*Notas!$B$3</f>
        <v>14.42</v>
      </c>
      <c r="F52" s="13" t="n">
        <v>1</v>
      </c>
      <c r="G52" s="17" t="n">
        <f aca="false">98.86/95*Notas!$B$3</f>
        <v>98.86</v>
      </c>
      <c r="H52" s="17" t="n">
        <f aca="false">14.42/95*Notas!$B$3</f>
        <v>14.42</v>
      </c>
      <c r="I52" s="17" t="n">
        <f aca="false">243.89/95*Notas!$B$3</f>
        <v>243.89</v>
      </c>
      <c r="J52" s="17" t="n">
        <f aca="false">243.89/95*Notas!$B$3</f>
        <v>243.89</v>
      </c>
    </row>
    <row r="53" customFormat="false" ht="15" hidden="false" customHeight="false" outlineLevel="0" collapsed="false">
      <c r="A53" s="13" t="s">
        <v>225</v>
      </c>
      <c r="B53" s="13" t="n">
        <v>52</v>
      </c>
      <c r="C53" s="17" t="n">
        <f aca="false">B53/100*Notas!$B$3</f>
        <v>49.4</v>
      </c>
      <c r="D53" s="17" t="n">
        <f aca="false">97.03/95*Notas!$B$3</f>
        <v>97.03</v>
      </c>
      <c r="E53" s="17" t="n">
        <f aca="false">14.07/95*Notas!$B$3</f>
        <v>14.07</v>
      </c>
      <c r="F53" s="13" t="n">
        <v>2</v>
      </c>
      <c r="G53" s="17" t="n">
        <f aca="false">72.93/95*Notas!$B$3</f>
        <v>72.93</v>
      </c>
      <c r="H53" s="17" t="n">
        <f aca="false">14.07/95*Notas!$B$3</f>
        <v>14.07</v>
      </c>
      <c r="I53" s="17" t="n">
        <f aca="false">182.13/95*Notas!$B$3</f>
        <v>182.13</v>
      </c>
      <c r="J53" s="17" t="n">
        <f aca="false">250.49/95*Notas!$B$3</f>
        <v>250.49</v>
      </c>
    </row>
    <row r="54" customFormat="false" ht="15" hidden="false" customHeight="false" outlineLevel="0" collapsed="false">
      <c r="A54" s="13" t="s">
        <v>225</v>
      </c>
      <c r="B54" s="13" t="n">
        <v>53</v>
      </c>
      <c r="C54" s="17" t="n">
        <f aca="false">B54/100*Notas!$B$3</f>
        <v>50.35</v>
      </c>
      <c r="D54" s="17" t="n">
        <f aca="false">78.38/95*Notas!$B$3</f>
        <v>78.38</v>
      </c>
      <c r="E54" s="17" t="n">
        <f aca="false">13.72/95*Notas!$B$3</f>
        <v>13.72</v>
      </c>
      <c r="F54" s="13" t="n">
        <v>3</v>
      </c>
      <c r="G54" s="17" t="n">
        <f aca="false">46.95/95*Notas!$B$3</f>
        <v>46.95</v>
      </c>
      <c r="H54" s="17" t="n">
        <f aca="false">13.72/95*Notas!$B$3</f>
        <v>13.72</v>
      </c>
      <c r="I54" s="17" t="n">
        <f aca="false">120.94/95*Notas!$B$3</f>
        <v>120.94</v>
      </c>
      <c r="J54" s="17" t="n">
        <f aca="false">212.62/95*Notas!$B$3</f>
        <v>212.62</v>
      </c>
    </row>
    <row r="55" customFormat="false" ht="15" hidden="false" customHeight="false" outlineLevel="0" collapsed="false">
      <c r="A55" s="13" t="s">
        <v>225</v>
      </c>
      <c r="B55" s="13" t="n">
        <v>54</v>
      </c>
      <c r="C55" s="17" t="n">
        <f aca="false">B55/100*Notas!$B$3</f>
        <v>51.3</v>
      </c>
      <c r="D55" s="17" t="n">
        <f aca="false">60.7/95*Notas!$B$3</f>
        <v>60.7</v>
      </c>
      <c r="E55" s="17" t="n">
        <f aca="false">13.36/95*Notas!$B$3</f>
        <v>13.36</v>
      </c>
      <c r="F55" s="13" t="n">
        <v>4</v>
      </c>
      <c r="G55" s="17" t="n">
        <f aca="false">34.63/95*Notas!$B$3</f>
        <v>34.63</v>
      </c>
      <c r="H55" s="17" t="n">
        <f aca="false">13.36/95*Notas!$B$3</f>
        <v>13.36</v>
      </c>
      <c r="I55" s="17" t="n">
        <f aca="false">98.67/95*Notas!$B$3</f>
        <v>98.67</v>
      </c>
      <c r="J55" s="17" t="n">
        <f aca="false">183.84/95*Notas!$B$3</f>
        <v>183.84</v>
      </c>
    </row>
    <row r="56" customFormat="false" ht="15" hidden="false" customHeight="false" outlineLevel="0" collapsed="false">
      <c r="A56" s="13" t="s">
        <v>225</v>
      </c>
      <c r="B56" s="13" t="n">
        <v>55</v>
      </c>
      <c r="C56" s="17" t="n">
        <f aca="false">B56/100*Notas!$B$3</f>
        <v>52.25</v>
      </c>
      <c r="D56" s="17" t="n">
        <f aca="false">60.47/95*Notas!$B$3</f>
        <v>60.47</v>
      </c>
      <c r="E56" s="17" t="n">
        <f aca="false">13.01/95*Notas!$B$3</f>
        <v>13.01</v>
      </c>
      <c r="F56" s="13" t="n">
        <v>5</v>
      </c>
      <c r="G56" s="17" t="n">
        <f aca="false">24.02/95*Notas!$B$3</f>
        <v>24.02</v>
      </c>
      <c r="H56" s="17" t="n">
        <f aca="false">13.01/95*Notas!$B$3</f>
        <v>13.01</v>
      </c>
      <c r="I56" s="17" t="n">
        <f aca="false">71.34/95*Notas!$B$3</f>
        <v>71.34</v>
      </c>
      <c r="J56" s="17" t="n">
        <f aca="false">135.62/95*Notas!$B$3</f>
        <v>135.62</v>
      </c>
    </row>
    <row r="57" customFormat="false" ht="15" hidden="false" customHeight="false" outlineLevel="0" collapsed="false">
      <c r="A57" s="13" t="s">
        <v>225</v>
      </c>
      <c r="B57" s="13" t="n">
        <v>56</v>
      </c>
      <c r="C57" s="17" t="n">
        <f aca="false">B57/100*Notas!$B$3</f>
        <v>53.2</v>
      </c>
      <c r="D57" s="17" t="n">
        <f aca="false">18.5/95*Notas!$B$3</f>
        <v>18.5</v>
      </c>
      <c r="E57" s="17" t="n">
        <f aca="false">15.58/95*Notas!$B$3</f>
        <v>15.58</v>
      </c>
      <c r="F57" s="13" t="n">
        <v>2</v>
      </c>
      <c r="G57" s="17" t="n">
        <f aca="false">18.5/95*Notas!$B$3</f>
        <v>18.5</v>
      </c>
      <c r="H57" s="17" t="n">
        <f aca="false">15.58/95*Notas!$B$3</f>
        <v>15.58</v>
      </c>
      <c r="I57" s="17" t="n">
        <f aca="false">56.06/95*Notas!$B$3</f>
        <v>56.06</v>
      </c>
      <c r="J57" s="17" t="n">
        <f aca="false">56.36/95*Notas!$B$3</f>
        <v>56.36</v>
      </c>
    </row>
    <row r="58" customFormat="false" ht="15" hidden="false" customHeight="false" outlineLevel="0" collapsed="false">
      <c r="A58" s="13" t="s">
        <v>225</v>
      </c>
      <c r="B58" s="13" t="n">
        <v>57</v>
      </c>
      <c r="C58" s="17" t="n">
        <f aca="false">B58/100*Notas!$B$3</f>
        <v>54.15</v>
      </c>
      <c r="D58" s="17" t="n">
        <f aca="false">23.34/95*Notas!$B$3</f>
        <v>23.34</v>
      </c>
      <c r="E58" s="17" t="n">
        <f aca="false">19.62/95*Notas!$B$3</f>
        <v>19.62</v>
      </c>
      <c r="F58" s="13" t="n">
        <v>1</v>
      </c>
      <c r="G58" s="17" t="n">
        <f aca="false">23.34/95*Notas!$B$3</f>
        <v>23.34</v>
      </c>
      <c r="H58" s="17" t="n">
        <f aca="false">19.62/95*Notas!$B$3</f>
        <v>19.62</v>
      </c>
      <c r="I58" s="17" t="n">
        <f aca="false">68.11/95*Notas!$B$3</f>
        <v>68.11</v>
      </c>
      <c r="J58" s="17" t="n">
        <f aca="false">68.11/95*Notas!$B$3</f>
        <v>68.11</v>
      </c>
    </row>
    <row r="59" customFormat="false" ht="15" hidden="false" customHeight="false" outlineLevel="0" collapsed="false">
      <c r="A59" s="13" t="s">
        <v>225</v>
      </c>
      <c r="B59" s="13" t="n">
        <v>58</v>
      </c>
      <c r="C59" s="17" t="n">
        <f aca="false">B59/100*Notas!$B$3</f>
        <v>55.1</v>
      </c>
      <c r="D59" s="17" t="n">
        <f aca="false">28.07/95*Notas!$B$3</f>
        <v>28.07</v>
      </c>
      <c r="E59" s="17" t="n">
        <f aca="false">21.44/95*Notas!$B$3</f>
        <v>21.44</v>
      </c>
      <c r="F59" s="13" t="n">
        <v>1</v>
      </c>
      <c r="G59" s="17" t="n">
        <f aca="false">28.07/95*Notas!$B$3</f>
        <v>28.07</v>
      </c>
      <c r="H59" s="17" t="n">
        <f aca="false">21.44/95*Notas!$B$3</f>
        <v>21.44</v>
      </c>
      <c r="I59" s="17" t="n">
        <f aca="false">83.65/95*Notas!$B$3</f>
        <v>83.65</v>
      </c>
      <c r="J59" s="17" t="n">
        <f aca="false">83.65/95*Notas!$B$3</f>
        <v>83.65</v>
      </c>
    </row>
    <row r="60" customFormat="false" ht="15" hidden="false" customHeight="false" outlineLevel="0" collapsed="false">
      <c r="A60" s="13" t="s">
        <v>225</v>
      </c>
      <c r="B60" s="13" t="n">
        <v>59</v>
      </c>
      <c r="C60" s="17" t="n">
        <f aca="false">B60/100*Notas!$B$3</f>
        <v>56.05</v>
      </c>
      <c r="D60" s="17" t="n">
        <f aca="false">31.47/95*Notas!$B$3</f>
        <v>31.47</v>
      </c>
      <c r="E60" s="17" t="n">
        <f aca="false">21.77/95*Notas!$B$3</f>
        <v>21.77</v>
      </c>
      <c r="F60" s="13" t="n">
        <v>1</v>
      </c>
      <c r="G60" s="17" t="n">
        <f aca="false">31.47/95*Notas!$B$3</f>
        <v>31.47</v>
      </c>
      <c r="H60" s="17" t="n">
        <f aca="false">21.77/95*Notas!$B$3</f>
        <v>21.77</v>
      </c>
      <c r="I60" s="17" t="n">
        <f aca="false">93.44/95*Notas!$B$3</f>
        <v>93.44</v>
      </c>
      <c r="J60" s="17" t="n">
        <f aca="false">93.44/95*Notas!$B$3</f>
        <v>93.44</v>
      </c>
    </row>
    <row r="61" customFormat="false" ht="15" hidden="false" customHeight="false" outlineLevel="0" collapsed="false">
      <c r="A61" s="13" t="s">
        <v>225</v>
      </c>
      <c r="B61" s="13" t="n">
        <v>60</v>
      </c>
      <c r="C61" s="17" t="n">
        <f aca="false">B61/100*Notas!$B$3</f>
        <v>57</v>
      </c>
      <c r="D61" s="17" t="n">
        <f aca="false">37.83/95*Notas!$B$3</f>
        <v>37.83</v>
      </c>
      <c r="E61" s="17" t="n">
        <f aca="false">22.61/95*Notas!$B$3</f>
        <v>22.61</v>
      </c>
      <c r="F61" s="13" t="n">
        <v>3</v>
      </c>
      <c r="G61" s="17" t="n">
        <f aca="false">31.64/95*Notas!$B$3</f>
        <v>31.64</v>
      </c>
      <c r="H61" s="17" t="n">
        <f aca="false">22.61/95*Notas!$B$3</f>
        <v>22.61</v>
      </c>
      <c r="I61" s="17" t="n">
        <f aca="false">92.88/95*Notas!$B$3</f>
        <v>92.88</v>
      </c>
      <c r="J61" s="17" t="n">
        <f aca="false">106.25/95*Notas!$B$3</f>
        <v>106.25</v>
      </c>
    </row>
    <row r="62" customFormat="false" ht="15" hidden="false" customHeight="false" outlineLevel="0" collapsed="false">
      <c r="A62" s="13" t="s">
        <v>225</v>
      </c>
      <c r="B62" s="13" t="n">
        <v>61</v>
      </c>
      <c r="C62" s="17" t="n">
        <f aca="false">B62/100*Notas!$B$3</f>
        <v>57.95</v>
      </c>
      <c r="D62" s="17" t="n">
        <f aca="false">42.02/95*Notas!$B$3</f>
        <v>42.02</v>
      </c>
      <c r="E62" s="17" t="n">
        <f aca="false">25.98/95*Notas!$B$3</f>
        <v>25.98</v>
      </c>
      <c r="F62" s="13" t="n">
        <v>2</v>
      </c>
      <c r="G62" s="17" t="n">
        <f aca="false">42.02/95*Notas!$B$3</f>
        <v>42.02</v>
      </c>
      <c r="H62" s="17" t="n">
        <f aca="false">22.86/95*Notas!$B$3</f>
        <v>22.86</v>
      </c>
      <c r="I62" s="17" t="n">
        <f aca="false">112.66/95*Notas!$B$3</f>
        <v>112.66</v>
      </c>
      <c r="J62" s="17" t="n">
        <f aca="false">118.42/95*Notas!$B$3</f>
        <v>118.42</v>
      </c>
    </row>
    <row r="63" customFormat="false" ht="15" hidden="false" customHeight="false" outlineLevel="0" collapsed="false">
      <c r="A63" s="13" t="s">
        <v>225</v>
      </c>
      <c r="B63" s="13" t="n">
        <v>62</v>
      </c>
      <c r="C63" s="17" t="n">
        <f aca="false">B63/100*Notas!$B$3</f>
        <v>58.9</v>
      </c>
      <c r="D63" s="17" t="n">
        <f aca="false">44.16/95*Notas!$B$3</f>
        <v>44.16</v>
      </c>
      <c r="E63" s="17" t="n">
        <f aca="false">30.34/95*Notas!$B$3</f>
        <v>30.34</v>
      </c>
      <c r="F63" s="13" t="n">
        <v>2</v>
      </c>
      <c r="G63" s="17" t="n">
        <f aca="false">1.23/95*Notas!$B$3</f>
        <v>1.23</v>
      </c>
      <c r="H63" s="17" t="n">
        <f aca="false">1.61/95*Notas!$B$3</f>
        <v>1.61</v>
      </c>
      <c r="I63" s="17" t="n">
        <f aca="false">4.22/95*Notas!$B$3</f>
        <v>4.22</v>
      </c>
      <c r="J63" s="17" t="n">
        <f aca="false">130.88/95*Notas!$B$3</f>
        <v>130.88</v>
      </c>
    </row>
    <row r="64" customFormat="false" ht="15" hidden="false" customHeight="false" outlineLevel="0" collapsed="false">
      <c r="A64" s="13" t="s">
        <v>225</v>
      </c>
      <c r="B64" s="13" t="n">
        <v>63</v>
      </c>
      <c r="C64" s="17" t="n">
        <f aca="false">B64/100*Notas!$B$3</f>
        <v>59.85</v>
      </c>
      <c r="D64" s="17" t="n">
        <f aca="false">45.1/95*Notas!$B$3</f>
        <v>45.1</v>
      </c>
      <c r="E64" s="17" t="n">
        <f aca="false">30.86/95*Notas!$B$3</f>
        <v>30.86</v>
      </c>
      <c r="F64" s="13" t="n">
        <v>2</v>
      </c>
      <c r="G64" s="17" t="n">
        <f aca="false">3.13/95*Notas!$B$3</f>
        <v>3.13</v>
      </c>
      <c r="H64" s="17" t="n">
        <f aca="false">2.91/95*Notas!$B$3</f>
        <v>2.91</v>
      </c>
      <c r="I64" s="17" t="n">
        <f aca="false">8.86/95*Notas!$B$3</f>
        <v>8.86</v>
      </c>
      <c r="J64" s="17" t="n">
        <f aca="false">130.41/95*Notas!$B$3</f>
        <v>130.41</v>
      </c>
    </row>
    <row r="65" customFormat="false" ht="15" hidden="false" customHeight="false" outlineLevel="0" collapsed="false">
      <c r="A65" s="13" t="s">
        <v>225</v>
      </c>
      <c r="B65" s="13" t="n">
        <v>64</v>
      </c>
      <c r="C65" s="17" t="n">
        <f aca="false">B65/100*Notas!$B$3</f>
        <v>60.8</v>
      </c>
      <c r="D65" s="17" t="n">
        <f aca="false">45.14/95*Notas!$B$3</f>
        <v>45.14</v>
      </c>
      <c r="E65" s="17" t="n">
        <f aca="false">31.29/95*Notas!$B$3</f>
        <v>31.29</v>
      </c>
      <c r="F65" s="13" t="n">
        <v>2</v>
      </c>
      <c r="G65" s="17" t="n">
        <f aca="false">45.14/95*Notas!$B$3</f>
        <v>45.14</v>
      </c>
      <c r="H65" s="17" t="n">
        <f aca="false">26.66/95*Notas!$B$3</f>
        <v>26.66</v>
      </c>
      <c r="I65" s="17" t="n">
        <f aca="false">121.67/95*Notas!$B$3</f>
        <v>121.67</v>
      </c>
      <c r="J65" s="17" t="n">
        <f aca="false">134.64/95*Notas!$B$3</f>
        <v>134.64</v>
      </c>
    </row>
    <row r="66" customFormat="false" ht="15" hidden="false" customHeight="false" outlineLevel="0" collapsed="false">
      <c r="A66" s="13" t="s">
        <v>225</v>
      </c>
      <c r="B66" s="13" t="n">
        <v>65</v>
      </c>
      <c r="C66" s="17" t="n">
        <f aca="false">B66/100*Notas!$B$3</f>
        <v>61.75</v>
      </c>
      <c r="D66" s="17" t="n">
        <f aca="false">45.16/95*Notas!$B$3</f>
        <v>45.16</v>
      </c>
      <c r="E66" s="17" t="n">
        <f aca="false">31.71/95*Notas!$B$3</f>
        <v>31.71</v>
      </c>
      <c r="F66" s="13" t="n">
        <v>3</v>
      </c>
      <c r="G66" s="17" t="n">
        <f aca="false">45.16/95*Notas!$B$3</f>
        <v>45.16</v>
      </c>
      <c r="H66" s="17" t="n">
        <f aca="false">26.99/95*Notas!$B$3</f>
        <v>26.99</v>
      </c>
      <c r="I66" s="17" t="n">
        <f aca="false">122.51/95*Notas!$B$3</f>
        <v>122.51</v>
      </c>
      <c r="J66" s="17" t="n">
        <f aca="false">156.8/95*Notas!$B$3</f>
        <v>156.8</v>
      </c>
    </row>
    <row r="67" customFormat="false" ht="15" hidden="false" customHeight="false" outlineLevel="0" collapsed="false">
      <c r="A67" s="13" t="s">
        <v>225</v>
      </c>
      <c r="B67" s="13" t="n">
        <v>66</v>
      </c>
      <c r="C67" s="17" t="n">
        <f aca="false">B67/100*Notas!$B$3</f>
        <v>62.7</v>
      </c>
      <c r="D67" s="17" t="n">
        <f aca="false">45.17/95*Notas!$B$3</f>
        <v>45.17</v>
      </c>
      <c r="E67" s="17" t="n">
        <f aca="false">32.14/95*Notas!$B$3</f>
        <v>32.14</v>
      </c>
      <c r="F67" s="13" t="n">
        <v>1</v>
      </c>
      <c r="G67" s="17" t="n">
        <f aca="false">45.17/95*Notas!$B$3</f>
        <v>45.17</v>
      </c>
      <c r="H67" s="17" t="n">
        <f aca="false">32.14/95*Notas!$B$3</f>
        <v>32.14</v>
      </c>
      <c r="I67" s="17" t="n">
        <f aca="false">154.3/95*Notas!$B$3</f>
        <v>154.3</v>
      </c>
      <c r="J67" s="17" t="n">
        <f aca="false">154.3/95*Notas!$B$3</f>
        <v>154.3</v>
      </c>
    </row>
    <row r="68" customFormat="false" ht="15" hidden="false" customHeight="false" outlineLevel="0" collapsed="false">
      <c r="A68" s="13" t="s">
        <v>225</v>
      </c>
      <c r="B68" s="13" t="n">
        <v>67</v>
      </c>
      <c r="C68" s="17" t="n">
        <f aca="false">B68/100*Notas!$B$3</f>
        <v>63.65</v>
      </c>
      <c r="D68" s="17" t="n">
        <f aca="false">45.18/95*Notas!$B$3</f>
        <v>45.18</v>
      </c>
      <c r="E68" s="17" t="n">
        <f aca="false">32.57/95*Notas!$B$3</f>
        <v>32.57</v>
      </c>
      <c r="F68" s="13" t="n">
        <v>2</v>
      </c>
      <c r="G68" s="17" t="n">
        <f aca="false">45.18/95*Notas!$B$3</f>
        <v>45.18</v>
      </c>
      <c r="H68" s="17" t="n">
        <f aca="false">32.57/95*Notas!$B$3</f>
        <v>32.57</v>
      </c>
      <c r="I68" s="17" t="n">
        <f aca="false">154.77/95*Notas!$B$3</f>
        <v>154.77</v>
      </c>
      <c r="J68" s="17" t="n">
        <f aca="false">159.99/95*Notas!$B$3</f>
        <v>159.99</v>
      </c>
    </row>
    <row r="69" customFormat="false" ht="15" hidden="false" customHeight="false" outlineLevel="0" collapsed="false">
      <c r="A69" s="13" t="s">
        <v>225</v>
      </c>
      <c r="B69" s="13" t="n">
        <v>68</v>
      </c>
      <c r="C69" s="17" t="n">
        <f aca="false">B69/100*Notas!$B$3</f>
        <v>64.6</v>
      </c>
      <c r="D69" s="17" t="n">
        <f aca="false">45.04/95*Notas!$B$3</f>
        <v>45.04</v>
      </c>
      <c r="E69" s="17" t="n">
        <f aca="false">32.99/95*Notas!$B$3</f>
        <v>32.99</v>
      </c>
      <c r="F69" s="13" t="n">
        <v>2</v>
      </c>
      <c r="G69" s="17" t="n">
        <f aca="false">45.04/95*Notas!$B$3</f>
        <v>45.04</v>
      </c>
      <c r="H69" s="17" t="n">
        <f aca="false">32.99/95*Notas!$B$3</f>
        <v>32.99</v>
      </c>
      <c r="I69" s="17" t="n">
        <f aca="false">152.41/95*Notas!$B$3</f>
        <v>152.41</v>
      </c>
      <c r="J69" s="17" t="n">
        <f aca="false">162.44/95*Notas!$B$3</f>
        <v>162.44</v>
      </c>
    </row>
    <row r="70" customFormat="false" ht="15" hidden="false" customHeight="false" outlineLevel="0" collapsed="false">
      <c r="A70" s="13" t="s">
        <v>225</v>
      </c>
      <c r="B70" s="13" t="n">
        <v>69</v>
      </c>
      <c r="C70" s="17" t="n">
        <f aca="false">B70/100*Notas!$B$3</f>
        <v>65.55</v>
      </c>
      <c r="D70" s="17" t="n">
        <f aca="false">44.79/95*Notas!$B$3</f>
        <v>44.79</v>
      </c>
      <c r="E70" s="17" t="n">
        <f aca="false">33.39/95*Notas!$B$3</f>
        <v>33.39</v>
      </c>
      <c r="F70" s="13" t="n">
        <v>2</v>
      </c>
      <c r="G70" s="17" t="n">
        <f aca="false">44.79/95*Notas!$B$3</f>
        <v>44.79</v>
      </c>
      <c r="H70" s="17" t="n">
        <f aca="false">33.39/95*Notas!$B$3</f>
        <v>33.39</v>
      </c>
      <c r="I70" s="17" t="n">
        <f aca="false">149.18/95*Notas!$B$3</f>
        <v>149.18</v>
      </c>
      <c r="J70" s="17" t="n">
        <f aca="false">162.62/95*Notas!$B$3</f>
        <v>162.62</v>
      </c>
    </row>
    <row r="71" customFormat="false" ht="15" hidden="false" customHeight="false" outlineLevel="0" collapsed="false">
      <c r="A71" s="13" t="s">
        <v>225</v>
      </c>
      <c r="B71" s="13" t="n">
        <v>70</v>
      </c>
      <c r="C71" s="17" t="n">
        <f aca="false">B71/100*Notas!$B$3</f>
        <v>66.5</v>
      </c>
      <c r="D71" s="17" t="n">
        <f aca="false">43.35/95*Notas!$B$3</f>
        <v>43.35</v>
      </c>
      <c r="E71" s="17" t="n">
        <f aca="false">33.77/95*Notas!$B$3</f>
        <v>33.77</v>
      </c>
      <c r="F71" s="13" t="n">
        <v>2</v>
      </c>
      <c r="G71" s="17" t="n">
        <f aca="false">43.35/95*Notas!$B$3</f>
        <v>43.35</v>
      </c>
      <c r="H71" s="17" t="n">
        <f aca="false">33.77/95*Notas!$B$3</f>
        <v>33.77</v>
      </c>
      <c r="I71" s="17" t="n">
        <f aca="false">142.99/95*Notas!$B$3</f>
        <v>142.99</v>
      </c>
      <c r="J71" s="17" t="n">
        <f aca="false">167.51/95*Notas!$B$3</f>
        <v>167.51</v>
      </c>
    </row>
    <row r="72" customFormat="false" ht="15" hidden="false" customHeight="false" outlineLevel="0" collapsed="false">
      <c r="A72" s="13" t="s">
        <v>225</v>
      </c>
      <c r="B72" s="13" t="n">
        <v>71</v>
      </c>
      <c r="C72" s="17" t="n">
        <f aca="false">B72/100*Notas!$B$3</f>
        <v>67.45</v>
      </c>
      <c r="D72" s="17" t="n">
        <f aca="false">41.19/95*Notas!$B$3</f>
        <v>41.19</v>
      </c>
      <c r="E72" s="17" t="n">
        <f aca="false">34.11/95*Notas!$B$3</f>
        <v>34.11</v>
      </c>
      <c r="F72" s="13" t="n">
        <v>2</v>
      </c>
      <c r="G72" s="17" t="n">
        <f aca="false">41.19/95*Notas!$B$3</f>
        <v>41.19</v>
      </c>
      <c r="H72" s="17" t="n">
        <f aca="false">34.11/95*Notas!$B$3</f>
        <v>34.11</v>
      </c>
      <c r="I72" s="17" t="n">
        <f aca="false">135.73/95*Notas!$B$3</f>
        <v>135.73</v>
      </c>
      <c r="J72" s="17" t="n">
        <f aca="false">164.66/95*Notas!$B$3</f>
        <v>164.66</v>
      </c>
    </row>
    <row r="73" customFormat="false" ht="15" hidden="false" customHeight="false" outlineLevel="0" collapsed="false">
      <c r="A73" s="13" t="s">
        <v>225</v>
      </c>
      <c r="B73" s="13" t="n">
        <v>72</v>
      </c>
      <c r="C73" s="17" t="n">
        <f aca="false">B73/100*Notas!$B$3</f>
        <v>68.4</v>
      </c>
      <c r="D73" s="17" t="n">
        <f aca="false">40.36/95*Notas!$B$3</f>
        <v>40.36</v>
      </c>
      <c r="E73" s="17" t="n">
        <f aca="false">34.46/95*Notas!$B$3</f>
        <v>34.46</v>
      </c>
      <c r="F73" s="13" t="n">
        <v>3</v>
      </c>
      <c r="G73" s="17" t="n">
        <f aca="false">40.36/95*Notas!$B$3</f>
        <v>40.36</v>
      </c>
      <c r="H73" s="17" t="n">
        <f aca="false">34.46/95*Notas!$B$3</f>
        <v>34.46</v>
      </c>
      <c r="I73" s="17" t="n">
        <f aca="false">133.54/95*Notas!$B$3</f>
        <v>133.54</v>
      </c>
      <c r="J73" s="17" t="n">
        <f aca="false">162.83/95*Notas!$B$3</f>
        <v>162.83</v>
      </c>
    </row>
    <row r="74" customFormat="false" ht="15" hidden="false" customHeight="false" outlineLevel="0" collapsed="false">
      <c r="A74" s="13" t="s">
        <v>225</v>
      </c>
      <c r="B74" s="13" t="n">
        <v>73</v>
      </c>
      <c r="C74" s="17" t="n">
        <f aca="false">B74/100*Notas!$B$3</f>
        <v>69.35</v>
      </c>
      <c r="D74" s="17" t="n">
        <f aca="false">41.65/95*Notas!$B$3</f>
        <v>41.65</v>
      </c>
      <c r="E74" s="17" t="n">
        <f aca="false">34.8/95*Notas!$B$3</f>
        <v>34.8</v>
      </c>
      <c r="F74" s="13" t="n">
        <v>3</v>
      </c>
      <c r="G74" s="17" t="n">
        <f aca="false">41.65/95*Notas!$B$3</f>
        <v>41.65</v>
      </c>
      <c r="H74" s="17" t="n">
        <f aca="false">34.8/95*Notas!$B$3</f>
        <v>34.8</v>
      </c>
      <c r="I74" s="17" t="n">
        <f aca="false">135.21/95*Notas!$B$3</f>
        <v>135.21</v>
      </c>
      <c r="J74" s="17" t="n">
        <f aca="false">165.69/95*Notas!$B$3</f>
        <v>165.69</v>
      </c>
    </row>
    <row r="75" customFormat="false" ht="15" hidden="false" customHeight="false" outlineLevel="0" collapsed="false">
      <c r="A75" s="13" t="s">
        <v>225</v>
      </c>
      <c r="B75" s="13" t="n">
        <v>74</v>
      </c>
      <c r="C75" s="17" t="n">
        <f aca="false">B75/100*Notas!$B$3</f>
        <v>70.3</v>
      </c>
      <c r="D75" s="17" t="n">
        <f aca="false">42.66/95*Notas!$B$3</f>
        <v>42.66</v>
      </c>
      <c r="E75" s="17" t="n">
        <f aca="false">35.15/95*Notas!$B$3</f>
        <v>35.15</v>
      </c>
      <c r="F75" s="13" t="n">
        <v>3</v>
      </c>
      <c r="G75" s="17" t="n">
        <f aca="false">42.66/95*Notas!$B$3</f>
        <v>42.66</v>
      </c>
      <c r="H75" s="17" t="n">
        <f aca="false">35.15/95*Notas!$B$3</f>
        <v>35.15</v>
      </c>
      <c r="I75" s="17" t="n">
        <f aca="false">135.17/95*Notas!$B$3</f>
        <v>135.17</v>
      </c>
      <c r="J75" s="17" t="n">
        <f aca="false">165.85/95*Notas!$B$3</f>
        <v>165.85</v>
      </c>
    </row>
    <row r="76" customFormat="false" ht="15" hidden="false" customHeight="false" outlineLevel="0" collapsed="false">
      <c r="A76" s="13" t="s">
        <v>225</v>
      </c>
      <c r="B76" s="13" t="n">
        <v>75</v>
      </c>
      <c r="C76" s="17" t="n">
        <f aca="false">B76/100*Notas!$B$3</f>
        <v>71.25</v>
      </c>
      <c r="D76" s="17" t="n">
        <f aca="false">43.55/95*Notas!$B$3</f>
        <v>43.55</v>
      </c>
      <c r="E76" s="17" t="n">
        <f aca="false">35.42/95*Notas!$B$3</f>
        <v>35.42</v>
      </c>
      <c r="F76" s="13" t="n">
        <v>3</v>
      </c>
      <c r="G76" s="17" t="n">
        <f aca="false">43.55/95*Notas!$B$3</f>
        <v>43.55</v>
      </c>
      <c r="H76" s="17" t="n">
        <f aca="false">35.42/95*Notas!$B$3</f>
        <v>35.42</v>
      </c>
      <c r="I76" s="17" t="n">
        <f aca="false">136.44/95*Notas!$B$3</f>
        <v>136.44</v>
      </c>
      <c r="J76" s="17" t="n">
        <f aca="false">166.41/95*Notas!$B$3</f>
        <v>166.41</v>
      </c>
    </row>
    <row r="77" customFormat="false" ht="15" hidden="false" customHeight="false" outlineLevel="0" collapsed="false">
      <c r="A77" s="13" t="s">
        <v>225</v>
      </c>
      <c r="B77" s="13" t="n">
        <v>76</v>
      </c>
      <c r="C77" s="17" t="n">
        <f aca="false">B77/100*Notas!$B$3</f>
        <v>72.2</v>
      </c>
      <c r="D77" s="17" t="n">
        <f aca="false">44.38/95*Notas!$B$3</f>
        <v>44.38</v>
      </c>
      <c r="E77" s="17" t="n">
        <f aca="false">35.64/95*Notas!$B$3</f>
        <v>35.64</v>
      </c>
      <c r="F77" s="13" t="n">
        <v>2</v>
      </c>
      <c r="G77" s="17" t="n">
        <f aca="false">44.38/95*Notas!$B$3</f>
        <v>44.38</v>
      </c>
      <c r="H77" s="17" t="n">
        <f aca="false">35.64/95*Notas!$B$3</f>
        <v>35.64</v>
      </c>
      <c r="I77" s="17" t="n">
        <f aca="false">137.83/95*Notas!$B$3</f>
        <v>137.83</v>
      </c>
      <c r="J77" s="17" t="n">
        <f aca="false">165.38/95*Notas!$B$3</f>
        <v>165.38</v>
      </c>
    </row>
    <row r="78" customFormat="false" ht="15" hidden="false" customHeight="false" outlineLevel="0" collapsed="false">
      <c r="A78" s="13" t="s">
        <v>225</v>
      </c>
      <c r="B78" s="13" t="n">
        <v>77</v>
      </c>
      <c r="C78" s="17" t="n">
        <f aca="false">B78/100*Notas!$B$3</f>
        <v>73.15</v>
      </c>
      <c r="D78" s="17" t="n">
        <f aca="false">45.21/95*Notas!$B$3</f>
        <v>45.21</v>
      </c>
      <c r="E78" s="17" t="n">
        <f aca="false">35.83/95*Notas!$B$3</f>
        <v>35.83</v>
      </c>
      <c r="F78" s="13" t="n">
        <v>1</v>
      </c>
      <c r="G78" s="17" t="n">
        <f aca="false">45.21/95*Notas!$B$3</f>
        <v>45.21</v>
      </c>
      <c r="H78" s="17" t="n">
        <f aca="false">35.83/95*Notas!$B$3</f>
        <v>35.83</v>
      </c>
      <c r="I78" s="17" t="n">
        <f aca="false">167.18/95*Notas!$B$3</f>
        <v>167.18</v>
      </c>
      <c r="J78" s="17" t="n">
        <f aca="false">167.18/95*Notas!$B$3</f>
        <v>167.18</v>
      </c>
    </row>
    <row r="79" customFormat="false" ht="15" hidden="false" customHeight="false" outlineLevel="0" collapsed="false">
      <c r="A79" s="13" t="s">
        <v>225</v>
      </c>
      <c r="B79" s="13" t="n">
        <v>78</v>
      </c>
      <c r="C79" s="17" t="n">
        <f aca="false">B79/100*Notas!$B$3</f>
        <v>74.1</v>
      </c>
      <c r="D79" s="17" t="n">
        <f aca="false">46.03/95*Notas!$B$3</f>
        <v>46.03</v>
      </c>
      <c r="E79" s="17" t="n">
        <f aca="false">36.01/95*Notas!$B$3</f>
        <v>36.01</v>
      </c>
      <c r="F79" s="13" t="n">
        <v>1</v>
      </c>
      <c r="G79" s="17" t="n">
        <f aca="false">46.03/95*Notas!$B$3</f>
        <v>46.03</v>
      </c>
      <c r="H79" s="17" t="n">
        <f aca="false">36.01/95*Notas!$B$3</f>
        <v>36.01</v>
      </c>
      <c r="I79" s="17" t="n">
        <f aca="false">168.23/95*Notas!$B$3</f>
        <v>168.23</v>
      </c>
      <c r="J79" s="17" t="n">
        <f aca="false">168.23/95*Notas!$B$3</f>
        <v>168.23</v>
      </c>
    </row>
    <row r="80" customFormat="false" ht="15" hidden="false" customHeight="false" outlineLevel="0" collapsed="false">
      <c r="A80" s="13" t="s">
        <v>225</v>
      </c>
      <c r="B80" s="13" t="n">
        <v>79</v>
      </c>
      <c r="C80" s="17" t="n">
        <f aca="false">B80/100*Notas!$B$3</f>
        <v>75.05</v>
      </c>
      <c r="D80" s="17" t="n">
        <f aca="false">46.88/95*Notas!$B$3</f>
        <v>46.88</v>
      </c>
      <c r="E80" s="17" t="n">
        <f aca="false">36.18/95*Notas!$B$3</f>
        <v>36.18</v>
      </c>
      <c r="F80" s="13" t="n">
        <v>1</v>
      </c>
      <c r="G80" s="17" t="n">
        <f aca="false">46.88/95*Notas!$B$3</f>
        <v>46.88</v>
      </c>
      <c r="H80" s="17" t="n">
        <f aca="false">36.18/95*Notas!$B$3</f>
        <v>36.18</v>
      </c>
      <c r="I80" s="17" t="n">
        <f aca="false">169.61/95*Notas!$B$3</f>
        <v>169.61</v>
      </c>
      <c r="J80" s="17" t="n">
        <f aca="false">169.61/95*Notas!$B$3</f>
        <v>169.61</v>
      </c>
    </row>
    <row r="81" customFormat="false" ht="15" hidden="false" customHeight="false" outlineLevel="0" collapsed="false">
      <c r="A81" s="13" t="s">
        <v>225</v>
      </c>
      <c r="B81" s="13" t="n">
        <v>80</v>
      </c>
      <c r="C81" s="17" t="n">
        <f aca="false">B81/100*Notas!$B$3</f>
        <v>76</v>
      </c>
      <c r="D81" s="17" t="n">
        <f aca="false">47.74/95*Notas!$B$3</f>
        <v>47.74</v>
      </c>
      <c r="E81" s="17" t="n">
        <f aca="false">36.1/95*Notas!$B$3</f>
        <v>36.1</v>
      </c>
      <c r="F81" s="13" t="n">
        <v>1</v>
      </c>
      <c r="G81" s="17" t="n">
        <f aca="false">47.74/95*Notas!$B$3</f>
        <v>47.74</v>
      </c>
      <c r="H81" s="17" t="n">
        <f aca="false">36.1/95*Notas!$B$3</f>
        <v>36.1</v>
      </c>
      <c r="I81" s="17" t="n">
        <f aca="false">171.12/95*Notas!$B$3</f>
        <v>171.12</v>
      </c>
      <c r="J81" s="17" t="n">
        <f aca="false">171.12/95*Notas!$B$3</f>
        <v>171.12</v>
      </c>
    </row>
    <row r="82" customFormat="false" ht="15" hidden="false" customHeight="false" outlineLevel="0" collapsed="false">
      <c r="A82" s="13" t="s">
        <v>225</v>
      </c>
      <c r="B82" s="13" t="n">
        <v>81</v>
      </c>
      <c r="C82" s="17" t="n">
        <f aca="false">B82/100*Notas!$B$3</f>
        <v>76.95</v>
      </c>
      <c r="D82" s="17" t="n">
        <f aca="false">48.62/95*Notas!$B$3</f>
        <v>48.62</v>
      </c>
      <c r="E82" s="17" t="n">
        <f aca="false">35.33/95*Notas!$B$3</f>
        <v>35.33</v>
      </c>
      <c r="F82" s="13" t="n">
        <v>1</v>
      </c>
      <c r="G82" s="17" t="n">
        <f aca="false">48.62/95*Notas!$B$3</f>
        <v>48.62</v>
      </c>
      <c r="H82" s="17" t="n">
        <f aca="false">35.33/95*Notas!$B$3</f>
        <v>35.33</v>
      </c>
      <c r="I82" s="17" t="n">
        <f aca="false">170.54/95*Notas!$B$3</f>
        <v>170.54</v>
      </c>
      <c r="J82" s="17" t="n">
        <f aca="false">170.54/95*Notas!$B$3</f>
        <v>170.54</v>
      </c>
    </row>
    <row r="83" customFormat="false" ht="15" hidden="false" customHeight="false" outlineLevel="0" collapsed="false">
      <c r="A83" s="13" t="s">
        <v>225</v>
      </c>
      <c r="B83" s="13" t="n">
        <v>82</v>
      </c>
      <c r="C83" s="17" t="n">
        <f aca="false">B83/100*Notas!$B$3</f>
        <v>77.9</v>
      </c>
      <c r="D83" s="17" t="n">
        <f aca="false">48.68/95*Notas!$B$3</f>
        <v>48.68</v>
      </c>
      <c r="E83" s="17" t="n">
        <f aca="false">34.2/95*Notas!$B$3</f>
        <v>34.2</v>
      </c>
      <c r="F83" s="13" t="n">
        <v>1</v>
      </c>
      <c r="G83" s="17" t="n">
        <f aca="false">48.68/95*Notas!$B$3</f>
        <v>48.68</v>
      </c>
      <c r="H83" s="17" t="n">
        <f aca="false">34.2/95*Notas!$B$3</f>
        <v>34.2</v>
      </c>
      <c r="I83" s="17" t="n">
        <f aca="false">168.48/95*Notas!$B$3</f>
        <v>168.48</v>
      </c>
      <c r="J83" s="17" t="n">
        <f aca="false">168.48/95*Notas!$B$3</f>
        <v>168.48</v>
      </c>
    </row>
    <row r="84" customFormat="false" ht="15" hidden="false" customHeight="false" outlineLevel="0" collapsed="false">
      <c r="A84" s="13" t="s">
        <v>225</v>
      </c>
      <c r="B84" s="13" t="n">
        <v>83</v>
      </c>
      <c r="C84" s="17" t="n">
        <f aca="false">B84/100*Notas!$B$3</f>
        <v>78.85</v>
      </c>
      <c r="D84" s="17" t="n">
        <f aca="false">47.44/95*Notas!$B$3</f>
        <v>47.44</v>
      </c>
      <c r="E84" s="17" t="n">
        <f aca="false">33.65/95*Notas!$B$3</f>
        <v>33.65</v>
      </c>
      <c r="F84" s="13" t="n">
        <v>2</v>
      </c>
      <c r="G84" s="17" t="n">
        <f aca="false">47.44/95*Notas!$B$3</f>
        <v>47.44</v>
      </c>
      <c r="H84" s="17" t="n">
        <f aca="false">33.65/95*Notas!$B$3</f>
        <v>33.65</v>
      </c>
      <c r="I84" s="17" t="n">
        <f aca="false">138.28/95*Notas!$B$3</f>
        <v>138.28</v>
      </c>
      <c r="J84" s="17" t="n">
        <f aca="false">163.84/95*Notas!$B$3</f>
        <v>163.84</v>
      </c>
    </row>
    <row r="85" customFormat="false" ht="15" hidden="false" customHeight="false" outlineLevel="0" collapsed="false">
      <c r="A85" s="13" t="s">
        <v>225</v>
      </c>
      <c r="B85" s="13" t="n">
        <v>84</v>
      </c>
      <c r="C85" s="17" t="n">
        <f aca="false">B85/100*Notas!$B$3</f>
        <v>79.8</v>
      </c>
      <c r="D85" s="17" t="n">
        <f aca="false">46.17/95*Notas!$B$3</f>
        <v>46.17</v>
      </c>
      <c r="E85" s="17" t="n">
        <f aca="false">33.09/95*Notas!$B$3</f>
        <v>33.09</v>
      </c>
      <c r="F85" s="13" t="n">
        <v>1</v>
      </c>
      <c r="G85" s="17" t="n">
        <f aca="false">46.17/95*Notas!$B$3</f>
        <v>46.17</v>
      </c>
      <c r="H85" s="17" t="n">
        <f aca="false">33.09/95*Notas!$B$3</f>
        <v>33.09</v>
      </c>
      <c r="I85" s="17" t="n">
        <f aca="false">159.63/95*Notas!$B$3</f>
        <v>159.63</v>
      </c>
      <c r="J85" s="17" t="n">
        <f aca="false">159.63/95*Notas!$B$3</f>
        <v>159.63</v>
      </c>
    </row>
    <row r="86" customFormat="false" ht="15" hidden="false" customHeight="false" outlineLevel="0" collapsed="false">
      <c r="A86" s="13" t="s">
        <v>225</v>
      </c>
      <c r="B86" s="13" t="n">
        <v>85</v>
      </c>
      <c r="C86" s="17" t="n">
        <f aca="false">B86/100*Notas!$B$3</f>
        <v>80.75</v>
      </c>
      <c r="D86" s="17" t="n">
        <f aca="false">44.9/95*Notas!$B$3</f>
        <v>44.9</v>
      </c>
      <c r="E86" s="17" t="n">
        <f aca="false">32.5/95*Notas!$B$3</f>
        <v>32.5</v>
      </c>
      <c r="F86" s="13" t="n">
        <v>1</v>
      </c>
      <c r="G86" s="17" t="n">
        <f aca="false">44.9/95*Notas!$B$3</f>
        <v>44.9</v>
      </c>
      <c r="H86" s="17" t="n">
        <f aca="false">32.5/95*Notas!$B$3</f>
        <v>32.5</v>
      </c>
      <c r="I86" s="17" t="n">
        <f aca="false">157.5/95*Notas!$B$3</f>
        <v>157.5</v>
      </c>
      <c r="J86" s="17" t="n">
        <f aca="false">157.5/95*Notas!$B$3</f>
        <v>157.5</v>
      </c>
    </row>
    <row r="87" customFormat="false" ht="15" hidden="false" customHeight="false" outlineLevel="0" collapsed="false">
      <c r="A87" s="13" t="s">
        <v>225</v>
      </c>
      <c r="B87" s="13" t="n">
        <v>86</v>
      </c>
      <c r="C87" s="17" t="n">
        <f aca="false">B87/100*Notas!$B$3</f>
        <v>81.7</v>
      </c>
      <c r="D87" s="17" t="n">
        <f aca="false">43.62/95*Notas!$B$3</f>
        <v>43.62</v>
      </c>
      <c r="E87" s="17" t="n">
        <f aca="false">30.18/95*Notas!$B$3</f>
        <v>30.18</v>
      </c>
      <c r="F87" s="13" t="n">
        <v>1</v>
      </c>
      <c r="G87" s="17" t="n">
        <f aca="false">43.62/95*Notas!$B$3</f>
        <v>43.62</v>
      </c>
      <c r="H87" s="17" t="n">
        <f aca="false">30.18/95*Notas!$B$3</f>
        <v>30.18</v>
      </c>
      <c r="I87" s="17" t="n">
        <f aca="false">152.97/95*Notas!$B$3</f>
        <v>152.97</v>
      </c>
      <c r="J87" s="17" t="n">
        <f aca="false">152.97/95*Notas!$B$3</f>
        <v>152.97</v>
      </c>
    </row>
    <row r="88" customFormat="false" ht="15" hidden="false" customHeight="false" outlineLevel="0" collapsed="false">
      <c r="A88" s="13" t="s">
        <v>225</v>
      </c>
      <c r="B88" s="13" t="n">
        <v>87</v>
      </c>
      <c r="C88" s="17" t="n">
        <f aca="false">B88/100*Notas!$B$3</f>
        <v>82.65</v>
      </c>
      <c r="D88" s="17" t="n">
        <f aca="false">42.28/95*Notas!$B$3</f>
        <v>42.28</v>
      </c>
      <c r="E88" s="17" t="n">
        <f aca="false">29.67/95*Notas!$B$3</f>
        <v>29.67</v>
      </c>
      <c r="F88" s="13" t="n">
        <v>2</v>
      </c>
      <c r="G88" s="17" t="n">
        <f aca="false">42.28/95*Notas!$B$3</f>
        <v>42.28</v>
      </c>
      <c r="H88" s="17" t="n">
        <f aca="false">29.67/95*Notas!$B$3</f>
        <v>29.67</v>
      </c>
      <c r="I88" s="17" t="n">
        <f aca="false">131.81/95*Notas!$B$3</f>
        <v>131.81</v>
      </c>
      <c r="J88" s="17" t="n">
        <f aca="false">152.24/95*Notas!$B$3</f>
        <v>152.24</v>
      </c>
    </row>
    <row r="89" customFormat="false" ht="15" hidden="false" customHeight="false" outlineLevel="0" collapsed="false">
      <c r="A89" s="13" t="s">
        <v>225</v>
      </c>
      <c r="B89" s="13" t="n">
        <v>88</v>
      </c>
      <c r="C89" s="17" t="n">
        <f aca="false">B89/100*Notas!$B$3</f>
        <v>83.6</v>
      </c>
      <c r="D89" s="17" t="n">
        <f aca="false">40.95/95*Notas!$B$3</f>
        <v>40.95</v>
      </c>
      <c r="E89" s="17" t="n">
        <f aca="false">28.62/95*Notas!$B$3</f>
        <v>28.62</v>
      </c>
      <c r="F89" s="13" t="n">
        <v>2</v>
      </c>
      <c r="G89" s="17" t="n">
        <f aca="false">40.95/95*Notas!$B$3</f>
        <v>40.95</v>
      </c>
      <c r="H89" s="17" t="n">
        <f aca="false">28.62/95*Notas!$B$3</f>
        <v>28.62</v>
      </c>
      <c r="I89" s="17" t="n">
        <f aca="false">128.42/95*Notas!$B$3</f>
        <v>128.42</v>
      </c>
      <c r="J89" s="17" t="n">
        <f aca="false">147.88/95*Notas!$B$3</f>
        <v>147.88</v>
      </c>
    </row>
    <row r="90" customFormat="false" ht="15" hidden="false" customHeight="false" outlineLevel="0" collapsed="false">
      <c r="A90" s="13" t="s">
        <v>225</v>
      </c>
      <c r="B90" s="13" t="n">
        <v>89</v>
      </c>
      <c r="C90" s="17" t="n">
        <f aca="false">B90/100*Notas!$B$3</f>
        <v>84.55</v>
      </c>
      <c r="D90" s="17" t="n">
        <f aca="false">39.58/95*Notas!$B$3</f>
        <v>39.58</v>
      </c>
      <c r="E90" s="17" t="n">
        <f aca="false">28.75/95*Notas!$B$3</f>
        <v>28.75</v>
      </c>
      <c r="F90" s="13" t="n">
        <v>2</v>
      </c>
      <c r="G90" s="17" t="n">
        <f aca="false">39.58/95*Notas!$B$3</f>
        <v>39.58</v>
      </c>
      <c r="H90" s="17" t="n">
        <f aca="false">28.75/95*Notas!$B$3</f>
        <v>28.75</v>
      </c>
      <c r="I90" s="17" t="n">
        <f aca="false">126.79/95*Notas!$B$3</f>
        <v>126.79</v>
      </c>
      <c r="J90" s="17" t="n">
        <f aca="false">145.45/95*Notas!$B$3</f>
        <v>145.45</v>
      </c>
    </row>
    <row r="91" customFormat="false" ht="15" hidden="false" customHeight="false" outlineLevel="0" collapsed="false">
      <c r="A91" s="13" t="s">
        <v>225</v>
      </c>
      <c r="B91" s="13" t="n">
        <v>90</v>
      </c>
      <c r="C91" s="17" t="n">
        <f aca="false">B91/100*Notas!$B$3</f>
        <v>85.5</v>
      </c>
      <c r="D91" s="17" t="n">
        <f aca="false">38.2/95*Notas!$B$3</f>
        <v>38.2</v>
      </c>
      <c r="E91" s="17" t="n">
        <f aca="false">27.19/95*Notas!$B$3</f>
        <v>27.19</v>
      </c>
      <c r="F91" s="13" t="n">
        <v>2</v>
      </c>
      <c r="G91" s="17" t="n">
        <f aca="false">38.2/95*Notas!$B$3</f>
        <v>38.2</v>
      </c>
      <c r="H91" s="17" t="n">
        <f aca="false">27.19/95*Notas!$B$3</f>
        <v>27.19</v>
      </c>
      <c r="I91" s="17" t="n">
        <f aca="false">127.02/95*Notas!$B$3</f>
        <v>127.02</v>
      </c>
      <c r="J91" s="17" t="n">
        <f aca="false">144.9/95*Notas!$B$3</f>
        <v>144.9</v>
      </c>
    </row>
    <row r="92" customFormat="false" ht="15" hidden="false" customHeight="false" outlineLevel="0" collapsed="false">
      <c r="A92" s="13" t="s">
        <v>225</v>
      </c>
      <c r="B92" s="13" t="n">
        <v>91</v>
      </c>
      <c r="C92" s="17" t="n">
        <f aca="false">B92/100*Notas!$B$3</f>
        <v>86.45</v>
      </c>
      <c r="D92" s="17" t="n">
        <f aca="false">36.79/95*Notas!$B$3</f>
        <v>36.79</v>
      </c>
      <c r="E92" s="17" t="n">
        <f aca="false">24.47/95*Notas!$B$3</f>
        <v>24.47</v>
      </c>
      <c r="F92" s="13" t="n">
        <v>2</v>
      </c>
      <c r="G92" s="17" t="n">
        <f aca="false">36.79/95*Notas!$B$3</f>
        <v>36.79</v>
      </c>
      <c r="H92" s="17" t="n">
        <f aca="false">24.47/95*Notas!$B$3</f>
        <v>24.47</v>
      </c>
      <c r="I92" s="17" t="n">
        <f aca="false">128.76/95*Notas!$B$3</f>
        <v>128.76</v>
      </c>
      <c r="J92" s="17" t="n">
        <f aca="false">145.48/95*Notas!$B$3</f>
        <v>145.48</v>
      </c>
    </row>
    <row r="93" customFormat="false" ht="15" hidden="false" customHeight="false" outlineLevel="0" collapsed="false">
      <c r="A93" s="13" t="s">
        <v>225</v>
      </c>
      <c r="B93" s="13" t="n">
        <v>92</v>
      </c>
      <c r="C93" s="17" t="n">
        <f aca="false">B93/100*Notas!$B$3</f>
        <v>87.4</v>
      </c>
      <c r="D93" s="17" t="n">
        <f aca="false">35.4/95*Notas!$B$3</f>
        <v>35.4</v>
      </c>
      <c r="E93" s="17" t="n">
        <f aca="false">22.82/95*Notas!$B$3</f>
        <v>22.82</v>
      </c>
      <c r="F93" s="13" t="n">
        <v>2</v>
      </c>
      <c r="G93" s="17" t="n">
        <f aca="false">35.4/95*Notas!$B$3</f>
        <v>35.4</v>
      </c>
      <c r="H93" s="17" t="n">
        <f aca="false">22.82/95*Notas!$B$3</f>
        <v>22.82</v>
      </c>
      <c r="I93" s="17" t="n">
        <f aca="false">122.18/95*Notas!$B$3</f>
        <v>122.18</v>
      </c>
      <c r="J93" s="17" t="n">
        <f aca="false">134.56/95*Notas!$B$3</f>
        <v>134.56</v>
      </c>
    </row>
    <row r="94" customFormat="false" ht="15" hidden="false" customHeight="false" outlineLevel="0" collapsed="false">
      <c r="A94" s="13" t="s">
        <v>225</v>
      </c>
      <c r="B94" s="13" t="n">
        <v>93</v>
      </c>
      <c r="C94" s="17" t="n">
        <f aca="false">B94/100*Notas!$B$3</f>
        <v>88.35</v>
      </c>
      <c r="D94" s="17" t="n">
        <f aca="false">32.08/95*Notas!$B$3</f>
        <v>32.08</v>
      </c>
      <c r="E94" s="17" t="n">
        <f aca="false">20.67/95*Notas!$B$3</f>
        <v>20.67</v>
      </c>
      <c r="F94" s="13" t="n">
        <v>1</v>
      </c>
      <c r="G94" s="17" t="n">
        <f aca="false">32.08/95*Notas!$B$3</f>
        <v>32.08</v>
      </c>
      <c r="H94" s="17" t="n">
        <f aca="false">20.67/95*Notas!$B$3</f>
        <v>20.67</v>
      </c>
      <c r="I94" s="17" t="n">
        <f aca="false">96.9/95*Notas!$B$3</f>
        <v>96.9</v>
      </c>
      <c r="J94" s="17" t="n">
        <f aca="false">96.9/95*Notas!$B$3</f>
        <v>96.9</v>
      </c>
    </row>
    <row r="95" customFormat="false" ht="15" hidden="false" customHeight="false" outlineLevel="0" collapsed="false">
      <c r="A95" s="13" t="s">
        <v>225</v>
      </c>
      <c r="B95" s="13" t="n">
        <v>94</v>
      </c>
      <c r="C95" s="17" t="n">
        <f aca="false">B95/100*Notas!$B$3</f>
        <v>89.3</v>
      </c>
      <c r="D95" s="17" t="n">
        <f aca="false">29.52/95*Notas!$B$3</f>
        <v>29.52</v>
      </c>
      <c r="E95" s="17" t="n">
        <f aca="false">19.63/95*Notas!$B$3</f>
        <v>19.63</v>
      </c>
      <c r="F95" s="13" t="n">
        <v>1</v>
      </c>
      <c r="G95" s="17" t="n">
        <f aca="false">29.52/95*Notas!$B$3</f>
        <v>29.52</v>
      </c>
      <c r="H95" s="17" t="n">
        <f aca="false">19.63/95*Notas!$B$3</f>
        <v>19.63</v>
      </c>
      <c r="I95" s="17" t="n">
        <f aca="false">81.7/95*Notas!$B$3</f>
        <v>81.7</v>
      </c>
      <c r="J95" s="17" t="n">
        <f aca="false">81.7/95*Notas!$B$3</f>
        <v>81.7</v>
      </c>
    </row>
    <row r="96" customFormat="false" ht="15" hidden="false" customHeight="false" outlineLevel="0" collapsed="false">
      <c r="A96" s="13" t="s">
        <v>225</v>
      </c>
      <c r="B96" s="13" t="n">
        <v>95</v>
      </c>
      <c r="C96" s="17" t="n">
        <f aca="false">B96/100*Notas!$B$3</f>
        <v>90.25</v>
      </c>
      <c r="D96" s="17" t="n">
        <f aca="false">26.11/95*Notas!$B$3</f>
        <v>26.11</v>
      </c>
      <c r="E96" s="17" t="n">
        <f aca="false">18.15/95*Notas!$B$3</f>
        <v>18.15</v>
      </c>
      <c r="F96" s="13" t="n">
        <v>1</v>
      </c>
      <c r="G96" s="17" t="n">
        <f aca="false">26.11/95*Notas!$B$3</f>
        <v>26.11</v>
      </c>
      <c r="H96" s="17" t="n">
        <f aca="false">18.15/95*Notas!$B$3</f>
        <v>18.15</v>
      </c>
      <c r="I96" s="17" t="n">
        <f aca="false">74.48/95*Notas!$B$3</f>
        <v>74.48</v>
      </c>
      <c r="J96" s="17" t="n">
        <f aca="false">74.48/95*Notas!$B$3</f>
        <v>74.48</v>
      </c>
    </row>
    <row r="97" customFormat="false" ht="15" hidden="false" customHeight="false" outlineLevel="0" collapsed="false">
      <c r="A97" s="13" t="s">
        <v>225</v>
      </c>
      <c r="B97" s="13" t="n">
        <v>96</v>
      </c>
      <c r="C97" s="17" t="n">
        <f aca="false">B97/100*Notas!$B$3</f>
        <v>91.2</v>
      </c>
      <c r="D97" s="17" t="n">
        <f aca="false">12.87/95*Notas!$B$3</f>
        <v>12.87</v>
      </c>
      <c r="E97" s="17" t="n">
        <f aca="false">15.86/95*Notas!$B$3</f>
        <v>15.86</v>
      </c>
      <c r="F97" s="13" t="n">
        <v>1</v>
      </c>
      <c r="G97" s="17" t="n">
        <f aca="false">12.87/95*Notas!$B$3</f>
        <v>12.87</v>
      </c>
      <c r="H97" s="17" t="n">
        <f aca="false">15.86/95*Notas!$B$3</f>
        <v>15.86</v>
      </c>
      <c r="I97" s="17" t="n">
        <f aca="false">41.56/95*Notas!$B$3</f>
        <v>41.56</v>
      </c>
      <c r="J97" s="17" t="n">
        <f aca="false">41.56/95*Notas!$B$3</f>
        <v>41.56</v>
      </c>
    </row>
    <row r="98" customFormat="false" ht="15" hidden="false" customHeight="false" outlineLevel="0" collapsed="false">
      <c r="A98" s="13" t="s">
        <v>225</v>
      </c>
      <c r="B98" s="13" t="n">
        <v>97</v>
      </c>
      <c r="C98" s="17" t="n">
        <f aca="false">B98/100*Notas!$B$3</f>
        <v>92.15</v>
      </c>
      <c r="D98" s="17" t="n">
        <f aca="false">11.33/95*Notas!$B$3</f>
        <v>11.33</v>
      </c>
      <c r="E98" s="17" t="n">
        <f aca="false">12.96/95*Notas!$B$3</f>
        <v>12.96</v>
      </c>
      <c r="F98" s="13" t="n">
        <v>1</v>
      </c>
      <c r="G98" s="17" t="n">
        <f aca="false">11.33/95*Notas!$B$3</f>
        <v>11.33</v>
      </c>
      <c r="H98" s="17" t="n">
        <f aca="false">12.96/95*Notas!$B$3</f>
        <v>12.96</v>
      </c>
      <c r="I98" s="17" t="n">
        <f aca="false">35.04/95*Notas!$B$3</f>
        <v>35.04</v>
      </c>
      <c r="J98" s="17" t="n">
        <f aca="false">35.04/95*Notas!$B$3</f>
        <v>35.04</v>
      </c>
    </row>
    <row r="99" customFormat="false" ht="15" hidden="false" customHeight="false" outlineLevel="0" collapsed="false">
      <c r="A99" s="13" t="s">
        <v>225</v>
      </c>
      <c r="B99" s="13" t="n">
        <v>98</v>
      </c>
      <c r="C99" s="17" t="n">
        <f aca="false">B99/100*Notas!$B$3</f>
        <v>93.1</v>
      </c>
      <c r="D99" s="17" t="n">
        <f aca="false">9.49/95*Notas!$B$3</f>
        <v>9.49</v>
      </c>
      <c r="E99" s="17" t="n">
        <f aca="false">9.6/95*Notas!$B$3</f>
        <v>9.6</v>
      </c>
      <c r="F99" s="13" t="n">
        <v>1</v>
      </c>
      <c r="G99" s="17" t="n">
        <f aca="false">9.49/95*Notas!$B$3</f>
        <v>9.49</v>
      </c>
      <c r="H99" s="17" t="n">
        <f aca="false">9.6/95*Notas!$B$3</f>
        <v>9.6</v>
      </c>
      <c r="I99" s="17" t="n">
        <f aca="false">27.51/95*Notas!$B$3</f>
        <v>27.51</v>
      </c>
      <c r="J99" s="17" t="n">
        <f aca="false">27.51/95*Notas!$B$3</f>
        <v>27.51</v>
      </c>
    </row>
    <row r="100" customFormat="false" ht="15" hidden="false" customHeight="false" outlineLevel="0" collapsed="false">
      <c r="A100" s="13" t="s">
        <v>225</v>
      </c>
      <c r="B100" s="13" t="n">
        <v>99</v>
      </c>
      <c r="C100" s="17" t="n">
        <f aca="false">B100/100*Notas!$B$3</f>
        <v>94.05</v>
      </c>
      <c r="D100" s="17" t="n">
        <f aca="false">6.63/95*Notas!$B$3</f>
        <v>6.63</v>
      </c>
      <c r="E100" s="17" t="n">
        <f aca="false">5.87/95*Notas!$B$3</f>
        <v>5.87</v>
      </c>
      <c r="F100" s="13" t="n">
        <v>1</v>
      </c>
      <c r="G100" s="17" t="n">
        <f aca="false">6.63/95*Notas!$B$3</f>
        <v>6.63</v>
      </c>
      <c r="H100" s="17" t="n">
        <f aca="false">5.87/95*Notas!$B$3</f>
        <v>5.87</v>
      </c>
      <c r="I100" s="17" t="n">
        <f aca="false">18.28/95*Notas!$B$3</f>
        <v>18.28</v>
      </c>
      <c r="J100" s="17" t="n">
        <f aca="false">18.28/95*Notas!$B$3</f>
        <v>18.28</v>
      </c>
    </row>
    <row r="101" customFormat="false" ht="15" hidden="false" customHeight="false" outlineLevel="0" collapsed="false">
      <c r="A101" s="13" t="s">
        <v>228</v>
      </c>
      <c r="B101" s="13" t="n">
        <v>1</v>
      </c>
      <c r="C101" s="17" t="n">
        <f aca="false">B101/100*Notas!$B$3</f>
        <v>0.95</v>
      </c>
      <c r="D101" s="17" t="n">
        <f aca="false">44.24/95*Notas!$B$3</f>
        <v>44.24</v>
      </c>
      <c r="E101" s="17" t="n">
        <f aca="false">26.77/95*Notas!$B$3</f>
        <v>26.77</v>
      </c>
      <c r="F101" s="13" t="n">
        <v>7</v>
      </c>
      <c r="G101" s="17" t="n">
        <f aca="false">5.7/95*Notas!$B$3</f>
        <v>5.7</v>
      </c>
      <c r="H101" s="17" t="n">
        <f aca="false">3.89/95*Notas!$B$3</f>
        <v>3.89</v>
      </c>
      <c r="I101" s="17" t="n">
        <f aca="false">14.86/95*Notas!$B$3</f>
        <v>14.86</v>
      </c>
      <c r="J101" s="17" t="n">
        <f aca="false">257.94/95*Notas!$B$3</f>
        <v>257.94</v>
      </c>
    </row>
    <row r="102" customFormat="false" ht="15" hidden="false" customHeight="false" outlineLevel="0" collapsed="false">
      <c r="A102" s="13" t="s">
        <v>228</v>
      </c>
      <c r="B102" s="13" t="n">
        <v>2</v>
      </c>
      <c r="C102" s="17" t="n">
        <f aca="false">B102/100*Notas!$B$3</f>
        <v>1.9</v>
      </c>
      <c r="D102" s="17" t="n">
        <f aca="false">44.19/95*Notas!$B$3</f>
        <v>44.19</v>
      </c>
      <c r="E102" s="17" t="n">
        <f aca="false">26.72/95*Notas!$B$3</f>
        <v>26.72</v>
      </c>
      <c r="F102" s="13" t="n">
        <v>5</v>
      </c>
      <c r="G102" s="17" t="n">
        <f aca="false">6.08/95*Notas!$B$3</f>
        <v>6.08</v>
      </c>
      <c r="H102" s="17" t="n">
        <f aca="false">5.78/95*Notas!$B$3</f>
        <v>5.78</v>
      </c>
      <c r="I102" s="17" t="n">
        <f aca="false">21.38/95*Notas!$B$3</f>
        <v>21.38</v>
      </c>
      <c r="J102" s="17" t="n">
        <f aca="false">261.56/95*Notas!$B$3</f>
        <v>261.56</v>
      </c>
    </row>
    <row r="103" customFormat="false" ht="15" hidden="false" customHeight="false" outlineLevel="0" collapsed="false">
      <c r="A103" s="13" t="s">
        <v>228</v>
      </c>
      <c r="B103" s="13" t="n">
        <v>3</v>
      </c>
      <c r="C103" s="17" t="n">
        <f aca="false">B103/100*Notas!$B$3</f>
        <v>2.85</v>
      </c>
      <c r="D103" s="17" t="n">
        <f aca="false">44.1/95*Notas!$B$3</f>
        <v>44.1</v>
      </c>
      <c r="E103" s="17" t="n">
        <f aca="false">26.68/95*Notas!$B$3</f>
        <v>26.68</v>
      </c>
      <c r="F103" s="13" t="n">
        <v>3</v>
      </c>
      <c r="G103" s="17" t="n">
        <f aca="false">19.07/95*Notas!$B$3</f>
        <v>19.07</v>
      </c>
      <c r="H103" s="17" t="n">
        <f aca="false">24.03/95*Notas!$B$3</f>
        <v>24.03</v>
      </c>
      <c r="I103" s="17" t="n">
        <f aca="false">120.91/95*Notas!$B$3</f>
        <v>120.91</v>
      </c>
      <c r="J103" s="17" t="n">
        <f aca="false">241.11/95*Notas!$B$3</f>
        <v>241.11</v>
      </c>
    </row>
    <row r="104" customFormat="false" ht="15" hidden="false" customHeight="false" outlineLevel="0" collapsed="false">
      <c r="A104" s="13" t="s">
        <v>228</v>
      </c>
      <c r="B104" s="13" t="n">
        <v>4</v>
      </c>
      <c r="C104" s="17" t="n">
        <f aca="false">B104/100*Notas!$B$3</f>
        <v>3.8</v>
      </c>
      <c r="D104" s="17" t="n">
        <f aca="false">43.95/95*Notas!$B$3</f>
        <v>43.95</v>
      </c>
      <c r="E104" s="17" t="n">
        <f aca="false">26.61/95*Notas!$B$3</f>
        <v>26.61</v>
      </c>
      <c r="F104" s="13" t="n">
        <v>4</v>
      </c>
      <c r="G104" s="17" t="n">
        <f aca="false">18.99/95*Notas!$B$3</f>
        <v>18.99</v>
      </c>
      <c r="H104" s="17" t="n">
        <f aca="false">23.92/95*Notas!$B$3</f>
        <v>23.92</v>
      </c>
      <c r="I104" s="17" t="n">
        <f aca="false">66.24/95*Notas!$B$3</f>
        <v>66.24</v>
      </c>
      <c r="J104" s="17" t="n">
        <f aca="false">242.01/95*Notas!$B$3</f>
        <v>242.01</v>
      </c>
    </row>
    <row r="105" customFormat="false" ht="15" hidden="false" customHeight="false" outlineLevel="0" collapsed="false">
      <c r="A105" s="13" t="s">
        <v>228</v>
      </c>
      <c r="B105" s="13" t="n">
        <v>5</v>
      </c>
      <c r="C105" s="17" t="n">
        <f aca="false">B105/100*Notas!$B$3</f>
        <v>4.75</v>
      </c>
      <c r="D105" s="17" t="n">
        <f aca="false">44.04/95*Notas!$B$3</f>
        <v>44.04</v>
      </c>
      <c r="E105" s="17" t="n">
        <f aca="false">26.64/95*Notas!$B$3</f>
        <v>26.64</v>
      </c>
      <c r="F105" s="13" t="n">
        <v>4</v>
      </c>
      <c r="G105" s="17" t="n">
        <f aca="false">15.39/95*Notas!$B$3</f>
        <v>15.39</v>
      </c>
      <c r="H105" s="17" t="n">
        <f aca="false">20.23/95*Notas!$B$3</f>
        <v>20.23</v>
      </c>
      <c r="I105" s="17" t="n">
        <f aca="false">57.02/95*Notas!$B$3</f>
        <v>57.02</v>
      </c>
      <c r="J105" s="17" t="n">
        <f aca="false">240.94/95*Notas!$B$3</f>
        <v>240.94</v>
      </c>
    </row>
    <row r="106" customFormat="false" ht="15" hidden="false" customHeight="false" outlineLevel="0" collapsed="false">
      <c r="A106" s="13" t="s">
        <v>228</v>
      </c>
      <c r="B106" s="13" t="n">
        <v>6</v>
      </c>
      <c r="C106" s="17" t="n">
        <f aca="false">B106/100*Notas!$B$3</f>
        <v>5.7</v>
      </c>
      <c r="D106" s="17" t="n">
        <f aca="false">43.86/95*Notas!$B$3</f>
        <v>43.86</v>
      </c>
      <c r="E106" s="17" t="n">
        <f aca="false">26.63/95*Notas!$B$3</f>
        <v>26.63</v>
      </c>
      <c r="F106" s="13" t="n">
        <v>4</v>
      </c>
      <c r="G106" s="17" t="n">
        <f aca="false">18.72/95*Notas!$B$3</f>
        <v>18.72</v>
      </c>
      <c r="H106" s="17" t="n">
        <f aca="false">23.9/95*Notas!$B$3</f>
        <v>23.9</v>
      </c>
      <c r="I106" s="17" t="n">
        <f aca="false">65.16/95*Notas!$B$3</f>
        <v>65.16</v>
      </c>
      <c r="J106" s="17" t="n">
        <f aca="false">239.31/95*Notas!$B$3</f>
        <v>239.31</v>
      </c>
    </row>
    <row r="107" customFormat="false" ht="15" hidden="false" customHeight="false" outlineLevel="0" collapsed="false">
      <c r="A107" s="13" t="s">
        <v>228</v>
      </c>
      <c r="B107" s="13" t="n">
        <v>7</v>
      </c>
      <c r="C107" s="17" t="n">
        <f aca="false">B107/100*Notas!$B$3</f>
        <v>6.65</v>
      </c>
      <c r="D107" s="17" t="n">
        <f aca="false">43.14/95*Notas!$B$3</f>
        <v>43.14</v>
      </c>
      <c r="E107" s="17" t="n">
        <f aca="false">25.95/95*Notas!$B$3</f>
        <v>25.95</v>
      </c>
      <c r="F107" s="13" t="n">
        <v>4</v>
      </c>
      <c r="G107" s="17" t="n">
        <f aca="false">14.29/95*Notas!$B$3</f>
        <v>14.29</v>
      </c>
      <c r="H107" s="17" t="n">
        <f aca="false">19.93/95*Notas!$B$3</f>
        <v>19.93</v>
      </c>
      <c r="I107" s="17" t="n">
        <f aca="false">54.21/95*Notas!$B$3</f>
        <v>54.21</v>
      </c>
      <c r="J107" s="17" t="n">
        <f aca="false">232.39/95*Notas!$B$3</f>
        <v>232.39</v>
      </c>
    </row>
    <row r="108" customFormat="false" ht="15" hidden="false" customHeight="false" outlineLevel="0" collapsed="false">
      <c r="A108" s="13" t="s">
        <v>228</v>
      </c>
      <c r="B108" s="13" t="n">
        <v>8</v>
      </c>
      <c r="C108" s="17" t="n">
        <f aca="false">B108/100*Notas!$B$3</f>
        <v>7.6</v>
      </c>
      <c r="D108" s="17" t="n">
        <f aca="false">42.31/95*Notas!$B$3</f>
        <v>42.31</v>
      </c>
      <c r="E108" s="17" t="n">
        <f aca="false">25.2/95*Notas!$B$3</f>
        <v>25.2</v>
      </c>
      <c r="F108" s="13" t="n">
        <v>4</v>
      </c>
      <c r="G108" s="17" t="n">
        <f aca="false">17.75/95*Notas!$B$3</f>
        <v>17.75</v>
      </c>
      <c r="H108" s="17" t="n">
        <f aca="false">22.37/95*Notas!$B$3</f>
        <v>22.37</v>
      </c>
      <c r="I108" s="17" t="n">
        <f aca="false">60.84/95*Notas!$B$3</f>
        <v>60.84</v>
      </c>
      <c r="J108" s="17" t="n">
        <f aca="false">222.59/95*Notas!$B$3</f>
        <v>222.59</v>
      </c>
    </row>
    <row r="109" customFormat="false" ht="15" hidden="false" customHeight="false" outlineLevel="0" collapsed="false">
      <c r="A109" s="13" t="s">
        <v>228</v>
      </c>
      <c r="B109" s="13" t="n">
        <v>9</v>
      </c>
      <c r="C109" s="17" t="n">
        <f aca="false">B109/100*Notas!$B$3</f>
        <v>8.55</v>
      </c>
      <c r="D109" s="17" t="n">
        <f aca="false">40.41/95*Notas!$B$3</f>
        <v>40.41</v>
      </c>
      <c r="E109" s="17" t="n">
        <f aca="false">24.36/95*Notas!$B$3</f>
        <v>24.36</v>
      </c>
      <c r="F109" s="13" t="n">
        <v>4</v>
      </c>
      <c r="G109" s="17" t="n">
        <f aca="false">16.88/95*Notas!$B$3</f>
        <v>16.88</v>
      </c>
      <c r="H109" s="17" t="n">
        <f aca="false">21.68/95*Notas!$B$3</f>
        <v>21.68</v>
      </c>
      <c r="I109" s="17" t="n">
        <f aca="false">59.8/95*Notas!$B$3</f>
        <v>59.8</v>
      </c>
      <c r="J109" s="17" t="n">
        <f aca="false">172.79/95*Notas!$B$3</f>
        <v>172.79</v>
      </c>
    </row>
    <row r="110" customFormat="false" ht="15" hidden="false" customHeight="false" outlineLevel="0" collapsed="false">
      <c r="A110" s="13" t="s">
        <v>228</v>
      </c>
      <c r="B110" s="13" t="n">
        <v>10</v>
      </c>
      <c r="C110" s="17" t="n">
        <f aca="false">B110/100*Notas!$B$3</f>
        <v>9.5</v>
      </c>
      <c r="D110" s="17" t="n">
        <f aca="false">32.77/95*Notas!$B$3</f>
        <v>32.77</v>
      </c>
      <c r="E110" s="17" t="n">
        <f aca="false">15.57/95*Notas!$B$3</f>
        <v>15.57</v>
      </c>
      <c r="F110" s="13" t="n">
        <v>2</v>
      </c>
      <c r="G110" s="17" t="n">
        <f aca="false">13.67/95*Notas!$B$3</f>
        <v>13.67</v>
      </c>
      <c r="H110" s="17" t="n">
        <f aca="false">13.09/95*Notas!$B$3</f>
        <v>13.09</v>
      </c>
      <c r="I110" s="17" t="n">
        <f aca="false">42.32/95*Notas!$B$3</f>
        <v>42.32</v>
      </c>
      <c r="J110" s="17" t="n">
        <f aca="false">88.89/95*Notas!$B$3</f>
        <v>88.89</v>
      </c>
    </row>
    <row r="111" customFormat="false" ht="15" hidden="false" customHeight="false" outlineLevel="0" collapsed="false">
      <c r="A111" s="13" t="s">
        <v>228</v>
      </c>
      <c r="B111" s="13" t="n">
        <v>11</v>
      </c>
      <c r="C111" s="17" t="n">
        <f aca="false">B111/100*Notas!$B$3</f>
        <v>10.45</v>
      </c>
      <c r="D111" s="17" t="n">
        <f aca="false">32.55/95*Notas!$B$3</f>
        <v>32.55</v>
      </c>
      <c r="E111" s="17" t="n">
        <f aca="false">15.7/95*Notas!$B$3</f>
        <v>15.7</v>
      </c>
      <c r="F111" s="13" t="n">
        <v>2</v>
      </c>
      <c r="G111" s="17" t="n">
        <f aca="false">13.75/95*Notas!$B$3</f>
        <v>13.75</v>
      </c>
      <c r="H111" s="17" t="n">
        <f aca="false">13.1/95*Notas!$B$3</f>
        <v>13.1</v>
      </c>
      <c r="I111" s="17" t="n">
        <f aca="false">42.49/95*Notas!$B$3</f>
        <v>42.49</v>
      </c>
      <c r="J111" s="17" t="n">
        <f aca="false">89.23/95*Notas!$B$3</f>
        <v>89.23</v>
      </c>
    </row>
    <row r="112" customFormat="false" ht="15" hidden="false" customHeight="false" outlineLevel="0" collapsed="false">
      <c r="A112" s="13" t="s">
        <v>228</v>
      </c>
      <c r="B112" s="13" t="n">
        <v>12</v>
      </c>
      <c r="C112" s="17" t="n">
        <f aca="false">B112/100*Notas!$B$3</f>
        <v>11.4</v>
      </c>
      <c r="D112" s="17" t="n">
        <f aca="false">32.25/95*Notas!$B$3</f>
        <v>32.25</v>
      </c>
      <c r="E112" s="17" t="n">
        <f aca="false">15.62/95*Notas!$B$3</f>
        <v>15.62</v>
      </c>
      <c r="F112" s="13" t="n">
        <v>2</v>
      </c>
      <c r="G112" s="17" t="n">
        <f aca="false">14.84/95*Notas!$B$3</f>
        <v>14.84</v>
      </c>
      <c r="H112" s="17" t="n">
        <f aca="false">15.25/95*Notas!$B$3</f>
        <v>15.25</v>
      </c>
      <c r="I112" s="17" t="n">
        <f aca="false">45.05/95*Notas!$B$3</f>
        <v>45.05</v>
      </c>
      <c r="J112" s="17" t="n">
        <f aca="false">87.23/95*Notas!$B$3</f>
        <v>87.23</v>
      </c>
    </row>
    <row r="113" customFormat="false" ht="15" hidden="false" customHeight="false" outlineLevel="0" collapsed="false">
      <c r="A113" s="13" t="s">
        <v>228</v>
      </c>
      <c r="B113" s="13" t="n">
        <v>13</v>
      </c>
      <c r="C113" s="17" t="n">
        <f aca="false">B113/100*Notas!$B$3</f>
        <v>12.35</v>
      </c>
      <c r="D113" s="17" t="n">
        <f aca="false">31.94/95*Notas!$B$3</f>
        <v>31.94</v>
      </c>
      <c r="E113" s="17" t="n">
        <f aca="false">15.27/95*Notas!$B$3</f>
        <v>15.27</v>
      </c>
      <c r="F113" s="13" t="n">
        <v>2</v>
      </c>
      <c r="G113" s="17" t="n">
        <f aca="false">14.76/95*Notas!$B$3</f>
        <v>14.76</v>
      </c>
      <c r="H113" s="17" t="n">
        <f aca="false">14.52/95*Notas!$B$3</f>
        <v>14.52</v>
      </c>
      <c r="I113" s="17" t="n">
        <f aca="false">43.52/95*Notas!$B$3</f>
        <v>43.52</v>
      </c>
      <c r="J113" s="17" t="n">
        <f aca="false">83.11/95*Notas!$B$3</f>
        <v>83.11</v>
      </c>
    </row>
    <row r="114" customFormat="false" ht="15" hidden="false" customHeight="false" outlineLevel="0" collapsed="false">
      <c r="A114" s="13" t="s">
        <v>228</v>
      </c>
      <c r="B114" s="13" t="n">
        <v>14</v>
      </c>
      <c r="C114" s="17" t="n">
        <f aca="false">B114/100*Notas!$B$3</f>
        <v>13.3</v>
      </c>
      <c r="D114" s="17" t="n">
        <f aca="false">29.53/95*Notas!$B$3</f>
        <v>29.53</v>
      </c>
      <c r="E114" s="17" t="n">
        <f aca="false">13.9/95*Notas!$B$3</f>
        <v>13.9</v>
      </c>
      <c r="F114" s="13" t="n">
        <v>2</v>
      </c>
      <c r="G114" s="17" t="n">
        <f aca="false">13.43/95*Notas!$B$3</f>
        <v>13.43</v>
      </c>
      <c r="H114" s="17" t="n">
        <f aca="false">12.62/95*Notas!$B$3</f>
        <v>12.62</v>
      </c>
      <c r="I114" s="17" t="n">
        <f aca="false">39.4/95*Notas!$B$3</f>
        <v>39.4</v>
      </c>
      <c r="J114" s="17" t="n">
        <f aca="false">76.62/95*Notas!$B$3</f>
        <v>76.62</v>
      </c>
    </row>
    <row r="115" customFormat="false" ht="15" hidden="false" customHeight="false" outlineLevel="0" collapsed="false">
      <c r="A115" s="13" t="s">
        <v>228</v>
      </c>
      <c r="B115" s="13" t="n">
        <v>15</v>
      </c>
      <c r="C115" s="17" t="n">
        <f aca="false">B115/100*Notas!$B$3</f>
        <v>14.25</v>
      </c>
      <c r="D115" s="17" t="n">
        <f aca="false">29.11/95*Notas!$B$3</f>
        <v>29.11</v>
      </c>
      <c r="E115" s="17" t="n">
        <f aca="false">13.89/95*Notas!$B$3</f>
        <v>13.89</v>
      </c>
      <c r="F115" s="13" t="n">
        <v>2</v>
      </c>
      <c r="G115" s="17" t="n">
        <f aca="false">13.34/95*Notas!$B$3</f>
        <v>13.34</v>
      </c>
      <c r="H115" s="17" t="n">
        <f aca="false">12.7/95*Notas!$B$3</f>
        <v>12.7</v>
      </c>
      <c r="I115" s="17" t="n">
        <f aca="false">39.42/95*Notas!$B$3</f>
        <v>39.42</v>
      </c>
      <c r="J115" s="17" t="n">
        <f aca="false">76.75/95*Notas!$B$3</f>
        <v>76.75</v>
      </c>
    </row>
    <row r="116" customFormat="false" ht="15" hidden="false" customHeight="false" outlineLevel="0" collapsed="false">
      <c r="A116" s="13" t="s">
        <v>228</v>
      </c>
      <c r="B116" s="13" t="n">
        <v>16</v>
      </c>
      <c r="C116" s="17" t="n">
        <f aca="false">B116/100*Notas!$B$3</f>
        <v>15.2</v>
      </c>
      <c r="D116" s="17" t="n">
        <f aca="false">28.69/95*Notas!$B$3</f>
        <v>28.69</v>
      </c>
      <c r="E116" s="17" t="n">
        <f aca="false">13.88/95*Notas!$B$3</f>
        <v>13.88</v>
      </c>
      <c r="F116" s="13" t="n">
        <v>2</v>
      </c>
      <c r="G116" s="17" t="n">
        <f aca="false">13.26/95*Notas!$B$3</f>
        <v>13.26</v>
      </c>
      <c r="H116" s="17" t="n">
        <f aca="false">12.76/95*Notas!$B$3</f>
        <v>12.76</v>
      </c>
      <c r="I116" s="17" t="n">
        <f aca="false">39.44/95*Notas!$B$3</f>
        <v>39.44</v>
      </c>
      <c r="J116" s="17" t="n">
        <f aca="false">76.94/95*Notas!$B$3</f>
        <v>76.94</v>
      </c>
    </row>
    <row r="117" customFormat="false" ht="15" hidden="false" customHeight="false" outlineLevel="0" collapsed="false">
      <c r="A117" s="13" t="s">
        <v>228</v>
      </c>
      <c r="B117" s="13" t="n">
        <v>17</v>
      </c>
      <c r="C117" s="17" t="n">
        <f aca="false">B117/100*Notas!$B$3</f>
        <v>16.15</v>
      </c>
      <c r="D117" s="17" t="n">
        <f aca="false">28.29/95*Notas!$B$3</f>
        <v>28.29</v>
      </c>
      <c r="E117" s="17" t="n">
        <f aca="false">13.86/95*Notas!$B$3</f>
        <v>13.86</v>
      </c>
      <c r="F117" s="13" t="n">
        <v>2</v>
      </c>
      <c r="G117" s="17" t="n">
        <f aca="false">13.19/95*Notas!$B$3</f>
        <v>13.19</v>
      </c>
      <c r="H117" s="17" t="n">
        <f aca="false">12.83/95*Notas!$B$3</f>
        <v>12.83</v>
      </c>
      <c r="I117" s="17" t="n">
        <f aca="false">39.46/95*Notas!$B$3</f>
        <v>39.46</v>
      </c>
      <c r="J117" s="17" t="n">
        <f aca="false">77.15/95*Notas!$B$3</f>
        <v>77.15</v>
      </c>
    </row>
    <row r="118" customFormat="false" ht="15" hidden="false" customHeight="false" outlineLevel="0" collapsed="false">
      <c r="A118" s="13" t="s">
        <v>228</v>
      </c>
      <c r="B118" s="13" t="n">
        <v>18</v>
      </c>
      <c r="C118" s="17" t="n">
        <f aca="false">B118/100*Notas!$B$3</f>
        <v>17.1</v>
      </c>
      <c r="D118" s="17" t="n">
        <f aca="false">27.9/95*Notas!$B$3</f>
        <v>27.9</v>
      </c>
      <c r="E118" s="17" t="n">
        <f aca="false">13.77/95*Notas!$B$3</f>
        <v>13.77</v>
      </c>
      <c r="F118" s="13" t="n">
        <v>2</v>
      </c>
      <c r="G118" s="17" t="n">
        <f aca="false">13.14/95*Notas!$B$3</f>
        <v>13.14</v>
      </c>
      <c r="H118" s="17" t="n">
        <f aca="false">12.85/95*Notas!$B$3</f>
        <v>12.85</v>
      </c>
      <c r="I118" s="17" t="n">
        <f aca="false">39.46/95*Notas!$B$3</f>
        <v>39.46</v>
      </c>
      <c r="J118" s="17" t="n">
        <f aca="false">77.37/95*Notas!$B$3</f>
        <v>77.37</v>
      </c>
    </row>
    <row r="119" customFormat="false" ht="15" hidden="false" customHeight="false" outlineLevel="0" collapsed="false">
      <c r="A119" s="13" t="s">
        <v>228</v>
      </c>
      <c r="B119" s="13" t="n">
        <v>19</v>
      </c>
      <c r="C119" s="17" t="n">
        <f aca="false">B119/100*Notas!$B$3</f>
        <v>18.05</v>
      </c>
      <c r="D119" s="17" t="n">
        <f aca="false">31.57/95*Notas!$B$3</f>
        <v>31.57</v>
      </c>
      <c r="E119" s="17" t="n">
        <f aca="false">13.7/95*Notas!$B$3</f>
        <v>13.7</v>
      </c>
      <c r="F119" s="13" t="n">
        <v>3</v>
      </c>
      <c r="G119" s="17" t="n">
        <f aca="false">13.13/95*Notas!$B$3</f>
        <v>13.13</v>
      </c>
      <c r="H119" s="17" t="n">
        <f aca="false">12.86/95*Notas!$B$3</f>
        <v>12.86</v>
      </c>
      <c r="I119" s="17" t="n">
        <f aca="false">39.49/95*Notas!$B$3</f>
        <v>39.49</v>
      </c>
      <c r="J119" s="17" t="n">
        <f aca="false">78.78/95*Notas!$B$3</f>
        <v>78.78</v>
      </c>
    </row>
    <row r="120" customFormat="false" ht="15" hidden="false" customHeight="false" outlineLevel="0" collapsed="false">
      <c r="A120" s="13" t="s">
        <v>228</v>
      </c>
      <c r="B120" s="13" t="n">
        <v>20</v>
      </c>
      <c r="C120" s="17" t="n">
        <f aca="false">B120/100*Notas!$B$3</f>
        <v>19</v>
      </c>
      <c r="D120" s="17" t="n">
        <f aca="false">42.77/95*Notas!$B$3</f>
        <v>42.77</v>
      </c>
      <c r="E120" s="17" t="n">
        <f aca="false">15.28/95*Notas!$B$3</f>
        <v>15.28</v>
      </c>
      <c r="F120" s="13" t="n">
        <v>4</v>
      </c>
      <c r="G120" s="17" t="n">
        <f aca="false">13.12/95*Notas!$B$3</f>
        <v>13.12</v>
      </c>
      <c r="H120" s="17" t="n">
        <f aca="false">12.88/95*Notas!$B$3</f>
        <v>12.88</v>
      </c>
      <c r="I120" s="17" t="n">
        <f aca="false">39.53/95*Notas!$B$3</f>
        <v>39.53</v>
      </c>
      <c r="J120" s="17" t="n">
        <f aca="false">111.47/95*Notas!$B$3</f>
        <v>111.47</v>
      </c>
    </row>
    <row r="121" customFormat="false" ht="15" hidden="false" customHeight="false" outlineLevel="0" collapsed="false">
      <c r="A121" s="13" t="s">
        <v>228</v>
      </c>
      <c r="B121" s="13" t="n">
        <v>21</v>
      </c>
      <c r="C121" s="17" t="n">
        <f aca="false">B121/100*Notas!$B$3</f>
        <v>19.95</v>
      </c>
      <c r="D121" s="17" t="n">
        <f aca="false">46.07/95*Notas!$B$3</f>
        <v>46.07</v>
      </c>
      <c r="E121" s="17" t="n">
        <f aca="false">16.07/95*Notas!$B$3</f>
        <v>16.07</v>
      </c>
      <c r="F121" s="13" t="n">
        <v>4</v>
      </c>
      <c r="G121" s="17" t="n">
        <f aca="false">13.11/95*Notas!$B$3</f>
        <v>13.11</v>
      </c>
      <c r="H121" s="17" t="n">
        <f aca="false">12.9/95*Notas!$B$3</f>
        <v>12.9</v>
      </c>
      <c r="I121" s="17" t="n">
        <f aca="false">39.56/95*Notas!$B$3</f>
        <v>39.56</v>
      </c>
      <c r="J121" s="17" t="n">
        <f aca="false">126.4/95*Notas!$B$3</f>
        <v>126.4</v>
      </c>
    </row>
    <row r="122" customFormat="false" ht="15" hidden="false" customHeight="false" outlineLevel="0" collapsed="false">
      <c r="A122" s="13" t="s">
        <v>228</v>
      </c>
      <c r="B122" s="13" t="n">
        <v>22</v>
      </c>
      <c r="C122" s="17" t="n">
        <f aca="false">B122/100*Notas!$B$3</f>
        <v>20.9</v>
      </c>
      <c r="D122" s="17" t="n">
        <f aca="false">47.42/95*Notas!$B$3</f>
        <v>47.42</v>
      </c>
      <c r="E122" s="17" t="n">
        <f aca="false">16.52/95*Notas!$B$3</f>
        <v>16.52</v>
      </c>
      <c r="F122" s="13" t="n">
        <v>4</v>
      </c>
      <c r="G122" s="17" t="n">
        <f aca="false">13.14/95*Notas!$B$3</f>
        <v>13.14</v>
      </c>
      <c r="H122" s="17" t="n">
        <f aca="false">12.92/95*Notas!$B$3</f>
        <v>12.92</v>
      </c>
      <c r="I122" s="17" t="n">
        <f aca="false">39.73/95*Notas!$B$3</f>
        <v>39.73</v>
      </c>
      <c r="J122" s="17" t="n">
        <f aca="false">130.45/95*Notas!$B$3</f>
        <v>130.45</v>
      </c>
    </row>
    <row r="123" customFormat="false" ht="15" hidden="false" customHeight="false" outlineLevel="0" collapsed="false">
      <c r="A123" s="13" t="s">
        <v>228</v>
      </c>
      <c r="B123" s="13" t="n">
        <v>23</v>
      </c>
      <c r="C123" s="17" t="n">
        <f aca="false">B123/100*Notas!$B$3</f>
        <v>21.85</v>
      </c>
      <c r="D123" s="17" t="n">
        <f aca="false">48.09/95*Notas!$B$3</f>
        <v>48.09</v>
      </c>
      <c r="E123" s="17" t="n">
        <f aca="false">16.63/95*Notas!$B$3</f>
        <v>16.63</v>
      </c>
      <c r="F123" s="13" t="n">
        <v>4</v>
      </c>
      <c r="G123" s="17" t="n">
        <f aca="false">13.27/95*Notas!$B$3</f>
        <v>13.27</v>
      </c>
      <c r="H123" s="17" t="n">
        <f aca="false">12.95/95*Notas!$B$3</f>
        <v>12.95</v>
      </c>
      <c r="I123" s="17" t="n">
        <f aca="false">40.07/95*Notas!$B$3</f>
        <v>40.07</v>
      </c>
      <c r="J123" s="17" t="n">
        <f aca="false">132.8/95*Notas!$B$3</f>
        <v>132.8</v>
      </c>
    </row>
    <row r="124" customFormat="false" ht="15" hidden="false" customHeight="false" outlineLevel="0" collapsed="false">
      <c r="A124" s="13" t="s">
        <v>228</v>
      </c>
      <c r="B124" s="13" t="n">
        <v>24</v>
      </c>
      <c r="C124" s="17" t="n">
        <f aca="false">B124/100*Notas!$B$3</f>
        <v>22.8</v>
      </c>
      <c r="D124" s="17" t="n">
        <f aca="false">48.46/95*Notas!$B$3</f>
        <v>48.46</v>
      </c>
      <c r="E124" s="17" t="n">
        <f aca="false">16.68/95*Notas!$B$3</f>
        <v>16.68</v>
      </c>
      <c r="F124" s="13" t="n">
        <v>5</v>
      </c>
      <c r="G124" s="17" t="n">
        <f aca="false">25.68/95*Notas!$B$3</f>
        <v>25.68</v>
      </c>
      <c r="H124" s="17" t="n">
        <f aca="false">13.4/95*Notas!$B$3</f>
        <v>13.4</v>
      </c>
      <c r="I124" s="17" t="n">
        <f aca="false">71.56/95*Notas!$B$3</f>
        <v>71.56</v>
      </c>
      <c r="J124" s="17" t="n">
        <f aca="false">136.04/95*Notas!$B$3</f>
        <v>136.04</v>
      </c>
    </row>
    <row r="125" customFormat="false" ht="15" hidden="false" customHeight="false" outlineLevel="0" collapsed="false">
      <c r="A125" s="13" t="s">
        <v>228</v>
      </c>
      <c r="B125" s="13" t="n">
        <v>25</v>
      </c>
      <c r="C125" s="17" t="n">
        <f aca="false">B125/100*Notas!$B$3</f>
        <v>23.75</v>
      </c>
      <c r="D125" s="17" t="n">
        <f aca="false">48.31/95*Notas!$B$3</f>
        <v>48.31</v>
      </c>
      <c r="E125" s="17" t="n">
        <f aca="false">16.69/95*Notas!$B$3</f>
        <v>16.69</v>
      </c>
      <c r="F125" s="13" t="n">
        <v>4</v>
      </c>
      <c r="G125" s="17" t="n">
        <f aca="false">27.52/95*Notas!$B$3</f>
        <v>27.52</v>
      </c>
      <c r="H125" s="17" t="n">
        <f aca="false">14.37/95*Notas!$B$3</f>
        <v>14.37</v>
      </c>
      <c r="I125" s="17" t="n">
        <f aca="false">76.29/95*Notas!$B$3</f>
        <v>76.29</v>
      </c>
      <c r="J125" s="17" t="n">
        <f aca="false">134.66/95*Notas!$B$3</f>
        <v>134.66</v>
      </c>
    </row>
    <row r="126" customFormat="false" ht="15" hidden="false" customHeight="false" outlineLevel="0" collapsed="false">
      <c r="A126" s="13" t="s">
        <v>228</v>
      </c>
      <c r="B126" s="13" t="n">
        <v>26</v>
      </c>
      <c r="C126" s="17" t="n">
        <f aca="false">B126/100*Notas!$B$3</f>
        <v>24.7</v>
      </c>
      <c r="D126" s="17" t="n">
        <f aca="false">47.91/95*Notas!$B$3</f>
        <v>47.91</v>
      </c>
      <c r="E126" s="17" t="n">
        <f aca="false">16.68/95*Notas!$B$3</f>
        <v>16.68</v>
      </c>
      <c r="F126" s="13" t="n">
        <v>4</v>
      </c>
      <c r="G126" s="17" t="n">
        <f aca="false">27.46/95*Notas!$B$3</f>
        <v>27.46</v>
      </c>
      <c r="H126" s="17" t="n">
        <f aca="false">14.31/95*Notas!$B$3</f>
        <v>14.31</v>
      </c>
      <c r="I126" s="17" t="n">
        <f aca="false">75.16/95*Notas!$B$3</f>
        <v>75.16</v>
      </c>
      <c r="J126" s="17" t="n">
        <f aca="false">133.68/95*Notas!$B$3</f>
        <v>133.68</v>
      </c>
    </row>
    <row r="127" customFormat="false" ht="15" hidden="false" customHeight="false" outlineLevel="0" collapsed="false">
      <c r="A127" s="13" t="s">
        <v>228</v>
      </c>
      <c r="B127" s="13" t="n">
        <v>27</v>
      </c>
      <c r="C127" s="17" t="n">
        <f aca="false">B127/100*Notas!$B$3</f>
        <v>25.65</v>
      </c>
      <c r="D127" s="17" t="n">
        <f aca="false">47.49/95*Notas!$B$3</f>
        <v>47.49</v>
      </c>
      <c r="E127" s="17" t="n">
        <f aca="false">16.73/95*Notas!$B$3</f>
        <v>16.73</v>
      </c>
      <c r="F127" s="13" t="n">
        <v>4</v>
      </c>
      <c r="G127" s="17" t="n">
        <f aca="false">24.63/95*Notas!$B$3</f>
        <v>24.63</v>
      </c>
      <c r="H127" s="17" t="n">
        <f aca="false">14.41/95*Notas!$B$3</f>
        <v>14.41</v>
      </c>
      <c r="I127" s="17" t="n">
        <f aca="false">63.87/95*Notas!$B$3</f>
        <v>63.87</v>
      </c>
      <c r="J127" s="17" t="n">
        <f aca="false">136.29/95*Notas!$B$3</f>
        <v>136.29</v>
      </c>
    </row>
    <row r="128" customFormat="false" ht="15" hidden="false" customHeight="false" outlineLevel="0" collapsed="false">
      <c r="A128" s="13" t="s">
        <v>228</v>
      </c>
      <c r="B128" s="13" t="n">
        <v>28</v>
      </c>
      <c r="C128" s="17" t="n">
        <f aca="false">B128/100*Notas!$B$3</f>
        <v>26.6</v>
      </c>
      <c r="D128" s="17" t="n">
        <f aca="false">47.08/95*Notas!$B$3</f>
        <v>47.08</v>
      </c>
      <c r="E128" s="17" t="n">
        <f aca="false">16.9/95*Notas!$B$3</f>
        <v>16.9</v>
      </c>
      <c r="F128" s="13" t="n">
        <v>3</v>
      </c>
      <c r="G128" s="17" t="n">
        <f aca="false">24.26/95*Notas!$B$3</f>
        <v>24.26</v>
      </c>
      <c r="H128" s="17" t="n">
        <f aca="false">15.01/95*Notas!$B$3</f>
        <v>15.01</v>
      </c>
      <c r="I128" s="17" t="n">
        <f aca="false">63.28/95*Notas!$B$3</f>
        <v>63.28</v>
      </c>
      <c r="J128" s="17" t="n">
        <f aca="false">127.94/95*Notas!$B$3</f>
        <v>127.94</v>
      </c>
    </row>
    <row r="129" customFormat="false" ht="15" hidden="false" customHeight="false" outlineLevel="0" collapsed="false">
      <c r="A129" s="13" t="s">
        <v>228</v>
      </c>
      <c r="B129" s="13" t="n">
        <v>29</v>
      </c>
      <c r="C129" s="17" t="n">
        <f aca="false">B129/100*Notas!$B$3</f>
        <v>27.55</v>
      </c>
      <c r="D129" s="17" t="n">
        <f aca="false">46.67/95*Notas!$B$3</f>
        <v>46.67</v>
      </c>
      <c r="E129" s="17" t="n">
        <f aca="false">16.92/95*Notas!$B$3</f>
        <v>16.92</v>
      </c>
      <c r="F129" s="13" t="n">
        <v>3</v>
      </c>
      <c r="G129" s="17" t="n">
        <f aca="false">23.85/95*Notas!$B$3</f>
        <v>23.85</v>
      </c>
      <c r="H129" s="17" t="n">
        <f aca="false">15.47/95*Notas!$B$3</f>
        <v>15.47</v>
      </c>
      <c r="I129" s="17" t="n">
        <f aca="false">62.72/95*Notas!$B$3</f>
        <v>62.72</v>
      </c>
      <c r="J129" s="17" t="n">
        <f aca="false">123.12/95*Notas!$B$3</f>
        <v>123.12</v>
      </c>
    </row>
    <row r="130" customFormat="false" ht="15" hidden="false" customHeight="false" outlineLevel="0" collapsed="false">
      <c r="A130" s="13" t="s">
        <v>228</v>
      </c>
      <c r="B130" s="13" t="n">
        <v>30</v>
      </c>
      <c r="C130" s="17" t="n">
        <f aca="false">B130/100*Notas!$B$3</f>
        <v>28.5</v>
      </c>
      <c r="D130" s="17" t="n">
        <f aca="false">46.26/95*Notas!$B$3</f>
        <v>46.26</v>
      </c>
      <c r="E130" s="17" t="n">
        <f aca="false">16.6/95*Notas!$B$3</f>
        <v>16.6</v>
      </c>
      <c r="F130" s="13" t="n">
        <v>3</v>
      </c>
      <c r="G130" s="17" t="n">
        <f aca="false">23.45/95*Notas!$B$3</f>
        <v>23.45</v>
      </c>
      <c r="H130" s="17" t="n">
        <f aca="false">15.68/95*Notas!$B$3</f>
        <v>15.68</v>
      </c>
      <c r="I130" s="17" t="n">
        <f aca="false">62.12/95*Notas!$B$3</f>
        <v>62.12</v>
      </c>
      <c r="J130" s="17" t="n">
        <f aca="false">119.02/95*Notas!$B$3</f>
        <v>119.02</v>
      </c>
    </row>
    <row r="131" customFormat="false" ht="15" hidden="false" customHeight="false" outlineLevel="0" collapsed="false">
      <c r="A131" s="13" t="s">
        <v>228</v>
      </c>
      <c r="B131" s="13" t="n">
        <v>31</v>
      </c>
      <c r="C131" s="17" t="n">
        <f aca="false">B131/100*Notas!$B$3</f>
        <v>29.45</v>
      </c>
      <c r="D131" s="17" t="n">
        <f aca="false">45.82/95*Notas!$B$3</f>
        <v>45.82</v>
      </c>
      <c r="E131" s="17" t="n">
        <f aca="false">18.63/95*Notas!$B$3</f>
        <v>18.63</v>
      </c>
      <c r="F131" s="13" t="n">
        <v>5</v>
      </c>
      <c r="G131" s="17" t="n">
        <f aca="false">23.04/95*Notas!$B$3</f>
        <v>23.04</v>
      </c>
      <c r="H131" s="17" t="n">
        <f aca="false">15.88/95*Notas!$B$3</f>
        <v>15.88</v>
      </c>
      <c r="I131" s="17" t="n">
        <f aca="false">61.56/95*Notas!$B$3</f>
        <v>61.56</v>
      </c>
      <c r="J131" s="17" t="n">
        <f aca="false">127.57/95*Notas!$B$3</f>
        <v>127.57</v>
      </c>
    </row>
    <row r="132" customFormat="false" ht="15" hidden="false" customHeight="false" outlineLevel="0" collapsed="false">
      <c r="A132" s="13" t="s">
        <v>228</v>
      </c>
      <c r="B132" s="13" t="n">
        <v>32</v>
      </c>
      <c r="C132" s="17" t="n">
        <f aca="false">B132/100*Notas!$B$3</f>
        <v>30.4</v>
      </c>
      <c r="D132" s="17" t="n">
        <f aca="false">45.39/95*Notas!$B$3</f>
        <v>45.39</v>
      </c>
      <c r="E132" s="17" t="n">
        <f aca="false">18.68/95*Notas!$B$3</f>
        <v>18.68</v>
      </c>
      <c r="F132" s="13" t="n">
        <v>3</v>
      </c>
      <c r="G132" s="17" t="n">
        <f aca="false">22.64/95*Notas!$B$3</f>
        <v>22.64</v>
      </c>
      <c r="H132" s="17" t="n">
        <f aca="false">18.68/95*Notas!$B$3</f>
        <v>18.68</v>
      </c>
      <c r="I132" s="17" t="n">
        <f aca="false">75.33/95*Notas!$B$3</f>
        <v>75.33</v>
      </c>
      <c r="J132" s="17" t="n">
        <f aca="false">125.63/95*Notas!$B$3</f>
        <v>125.63</v>
      </c>
    </row>
    <row r="133" customFormat="false" ht="15" hidden="false" customHeight="false" outlineLevel="0" collapsed="false">
      <c r="A133" s="13" t="s">
        <v>228</v>
      </c>
      <c r="B133" s="13" t="n">
        <v>33</v>
      </c>
      <c r="C133" s="17" t="n">
        <f aca="false">B133/100*Notas!$B$3</f>
        <v>31.35</v>
      </c>
      <c r="D133" s="17" t="n">
        <f aca="false">44.93/95*Notas!$B$3</f>
        <v>44.93</v>
      </c>
      <c r="E133" s="17" t="n">
        <f aca="false">18.8/95*Notas!$B$3</f>
        <v>18.8</v>
      </c>
      <c r="F133" s="13" t="n">
        <v>3</v>
      </c>
      <c r="G133" s="17" t="n">
        <f aca="false">22.19/95*Notas!$B$3</f>
        <v>22.19</v>
      </c>
      <c r="H133" s="17" t="n">
        <f aca="false">18.8/95*Notas!$B$3</f>
        <v>18.8</v>
      </c>
      <c r="I133" s="17" t="n">
        <f aca="false">72.24/95*Notas!$B$3</f>
        <v>72.24</v>
      </c>
      <c r="J133" s="17" t="n">
        <f aca="false">120.07/95*Notas!$B$3</f>
        <v>120.07</v>
      </c>
    </row>
    <row r="134" customFormat="false" ht="15" hidden="false" customHeight="false" outlineLevel="0" collapsed="false">
      <c r="A134" s="13" t="s">
        <v>228</v>
      </c>
      <c r="B134" s="13" t="n">
        <v>34</v>
      </c>
      <c r="C134" s="17" t="n">
        <f aca="false">B134/100*Notas!$B$3</f>
        <v>32.3</v>
      </c>
      <c r="D134" s="17" t="n">
        <f aca="false">44.41/95*Notas!$B$3</f>
        <v>44.41</v>
      </c>
      <c r="E134" s="17" t="n">
        <f aca="false">18.49/95*Notas!$B$3</f>
        <v>18.49</v>
      </c>
      <c r="F134" s="13" t="n">
        <v>3</v>
      </c>
      <c r="G134" s="17" t="n">
        <f aca="false">21.7/95*Notas!$B$3</f>
        <v>21.7</v>
      </c>
      <c r="H134" s="17" t="n">
        <f aca="false">18.49/95*Notas!$B$3</f>
        <v>18.49</v>
      </c>
      <c r="I134" s="17" t="n">
        <f aca="false">70.99/95*Notas!$B$3</f>
        <v>70.99</v>
      </c>
      <c r="J134" s="17" t="n">
        <f aca="false">128.93/95*Notas!$B$3</f>
        <v>128.93</v>
      </c>
    </row>
    <row r="135" customFormat="false" ht="15" hidden="false" customHeight="false" outlineLevel="0" collapsed="false">
      <c r="A135" s="13" t="s">
        <v>228</v>
      </c>
      <c r="B135" s="13" t="n">
        <v>35</v>
      </c>
      <c r="C135" s="17" t="n">
        <f aca="false">B135/100*Notas!$B$3</f>
        <v>33.25</v>
      </c>
      <c r="D135" s="17" t="n">
        <f aca="false">43.86/95*Notas!$B$3</f>
        <v>43.86</v>
      </c>
      <c r="E135" s="17" t="n">
        <f aca="false">17.9/95*Notas!$B$3</f>
        <v>17.9</v>
      </c>
      <c r="F135" s="13" t="n">
        <v>3</v>
      </c>
      <c r="G135" s="17" t="n">
        <f aca="false">23.21/95*Notas!$B$3</f>
        <v>23.21</v>
      </c>
      <c r="H135" s="17" t="n">
        <f aca="false">17.9/95*Notas!$B$3</f>
        <v>17.9</v>
      </c>
      <c r="I135" s="17" t="n">
        <f aca="false">73.6/95*Notas!$B$3</f>
        <v>73.6</v>
      </c>
      <c r="J135" s="17" t="n">
        <f aca="false">133.35/95*Notas!$B$3</f>
        <v>133.35</v>
      </c>
    </row>
    <row r="136" customFormat="false" ht="15" hidden="false" customHeight="false" outlineLevel="0" collapsed="false">
      <c r="A136" s="13" t="s">
        <v>228</v>
      </c>
      <c r="B136" s="13" t="n">
        <v>36</v>
      </c>
      <c r="C136" s="17" t="n">
        <f aca="false">B136/100*Notas!$B$3</f>
        <v>34.2</v>
      </c>
      <c r="D136" s="17" t="n">
        <f aca="false">43.66/95*Notas!$B$3</f>
        <v>43.66</v>
      </c>
      <c r="E136" s="17" t="n">
        <f aca="false">17.47/95*Notas!$B$3</f>
        <v>17.47</v>
      </c>
      <c r="F136" s="13" t="n">
        <v>3</v>
      </c>
      <c r="G136" s="17" t="n">
        <f aca="false">22.77/95*Notas!$B$3</f>
        <v>22.77</v>
      </c>
      <c r="H136" s="17" t="n">
        <f aca="false">17.47/95*Notas!$B$3</f>
        <v>17.47</v>
      </c>
      <c r="I136" s="17" t="n">
        <f aca="false">69.38/95*Notas!$B$3</f>
        <v>69.38</v>
      </c>
      <c r="J136" s="17" t="n">
        <f aca="false">133.33/95*Notas!$B$3</f>
        <v>133.33</v>
      </c>
    </row>
    <row r="137" customFormat="false" ht="15" hidden="false" customHeight="false" outlineLevel="0" collapsed="false">
      <c r="A137" s="13" t="s">
        <v>228</v>
      </c>
      <c r="B137" s="13" t="n">
        <v>37</v>
      </c>
      <c r="C137" s="17" t="n">
        <f aca="false">B137/100*Notas!$B$3</f>
        <v>35.15</v>
      </c>
      <c r="D137" s="17" t="n">
        <f aca="false">45.25/95*Notas!$B$3</f>
        <v>45.25</v>
      </c>
      <c r="E137" s="17" t="n">
        <f aca="false">17.24/95*Notas!$B$3</f>
        <v>17.24</v>
      </c>
      <c r="F137" s="13" t="n">
        <v>3</v>
      </c>
      <c r="G137" s="17" t="n">
        <f aca="false">22.38/95*Notas!$B$3</f>
        <v>22.38</v>
      </c>
      <c r="H137" s="17" t="n">
        <f aca="false">17.24/95*Notas!$B$3</f>
        <v>17.24</v>
      </c>
      <c r="I137" s="17" t="n">
        <f aca="false">68.08/95*Notas!$B$3</f>
        <v>68.08</v>
      </c>
      <c r="J137" s="17" t="n">
        <f aca="false">136.92/95*Notas!$B$3</f>
        <v>136.92</v>
      </c>
    </row>
    <row r="138" customFormat="false" ht="15" hidden="false" customHeight="false" outlineLevel="0" collapsed="false">
      <c r="A138" s="13" t="s">
        <v>228</v>
      </c>
      <c r="B138" s="13" t="n">
        <v>38</v>
      </c>
      <c r="C138" s="17" t="n">
        <f aca="false">B138/100*Notas!$B$3</f>
        <v>36.1</v>
      </c>
      <c r="D138" s="17" t="n">
        <f aca="false">45.7/95*Notas!$B$3</f>
        <v>45.7</v>
      </c>
      <c r="E138" s="17" t="n">
        <f aca="false">16.99/95*Notas!$B$3</f>
        <v>16.99</v>
      </c>
      <c r="F138" s="13" t="n">
        <v>3</v>
      </c>
      <c r="G138" s="17" t="n">
        <f aca="false">22/95*Notas!$B$3</f>
        <v>22</v>
      </c>
      <c r="H138" s="17" t="n">
        <f aca="false">16.99/95*Notas!$B$3</f>
        <v>16.99</v>
      </c>
      <c r="I138" s="17" t="n">
        <f aca="false">66.99/95*Notas!$B$3</f>
        <v>66.99</v>
      </c>
      <c r="J138" s="17" t="n">
        <f aca="false">138.41/95*Notas!$B$3</f>
        <v>138.41</v>
      </c>
    </row>
    <row r="139" customFormat="false" ht="15" hidden="false" customHeight="false" outlineLevel="0" collapsed="false">
      <c r="A139" s="13" t="s">
        <v>228</v>
      </c>
      <c r="B139" s="13" t="n">
        <v>39</v>
      </c>
      <c r="C139" s="17" t="n">
        <f aca="false">B139/100*Notas!$B$3</f>
        <v>37.05</v>
      </c>
      <c r="D139" s="17" t="n">
        <f aca="false">44.98/95*Notas!$B$3</f>
        <v>44.98</v>
      </c>
      <c r="E139" s="17" t="n">
        <f aca="false">16.66/95*Notas!$B$3</f>
        <v>16.66</v>
      </c>
      <c r="F139" s="13" t="n">
        <v>3</v>
      </c>
      <c r="G139" s="17" t="n">
        <f aca="false">21.76/95*Notas!$B$3</f>
        <v>21.76</v>
      </c>
      <c r="H139" s="17" t="n">
        <f aca="false">16.66/95*Notas!$B$3</f>
        <v>16.66</v>
      </c>
      <c r="I139" s="17" t="n">
        <f aca="false">65.98/95*Notas!$B$3</f>
        <v>65.98</v>
      </c>
      <c r="J139" s="17" t="n">
        <f aca="false">135.83/95*Notas!$B$3</f>
        <v>135.83</v>
      </c>
    </row>
    <row r="140" customFormat="false" ht="15" hidden="false" customHeight="false" outlineLevel="0" collapsed="false">
      <c r="A140" s="13" t="s">
        <v>228</v>
      </c>
      <c r="B140" s="13" t="n">
        <v>40</v>
      </c>
      <c r="C140" s="17" t="n">
        <f aca="false">B140/100*Notas!$B$3</f>
        <v>38</v>
      </c>
      <c r="D140" s="17" t="n">
        <f aca="false">44.27/95*Notas!$B$3</f>
        <v>44.27</v>
      </c>
      <c r="E140" s="17" t="n">
        <f aca="false">16.51/95*Notas!$B$3</f>
        <v>16.51</v>
      </c>
      <c r="F140" s="13" t="n">
        <v>3</v>
      </c>
      <c r="G140" s="17" t="n">
        <f aca="false">21.53/95*Notas!$B$3</f>
        <v>21.53</v>
      </c>
      <c r="H140" s="17" t="n">
        <f aca="false">16.51/95*Notas!$B$3</f>
        <v>16.51</v>
      </c>
      <c r="I140" s="17" t="n">
        <f aca="false">64.4/95*Notas!$B$3</f>
        <v>64.4</v>
      </c>
      <c r="J140" s="17" t="n">
        <f aca="false">131.16/95*Notas!$B$3</f>
        <v>131.16</v>
      </c>
    </row>
    <row r="141" customFormat="false" ht="15" hidden="false" customHeight="false" outlineLevel="0" collapsed="false">
      <c r="A141" s="13" t="s">
        <v>228</v>
      </c>
      <c r="B141" s="13" t="n">
        <v>41</v>
      </c>
      <c r="C141" s="17" t="n">
        <f aca="false">B141/100*Notas!$B$3</f>
        <v>38.95</v>
      </c>
      <c r="D141" s="17" t="n">
        <f aca="false">43.56/95*Notas!$B$3</f>
        <v>43.56</v>
      </c>
      <c r="E141" s="17" t="n">
        <f aca="false">16.55/95*Notas!$B$3</f>
        <v>16.55</v>
      </c>
      <c r="F141" s="13" t="n">
        <v>3</v>
      </c>
      <c r="G141" s="17" t="n">
        <f aca="false">20.51/95*Notas!$B$3</f>
        <v>20.51</v>
      </c>
      <c r="H141" s="17" t="n">
        <f aca="false">16.55/95*Notas!$B$3</f>
        <v>16.55</v>
      </c>
      <c r="I141" s="17" t="n">
        <f aca="false">60.12/95*Notas!$B$3</f>
        <v>60.12</v>
      </c>
      <c r="J141" s="17" t="n">
        <f aca="false">124.09/95*Notas!$B$3</f>
        <v>124.09</v>
      </c>
    </row>
    <row r="142" customFormat="false" ht="15" hidden="false" customHeight="false" outlineLevel="0" collapsed="false">
      <c r="A142" s="13" t="s">
        <v>228</v>
      </c>
      <c r="B142" s="13" t="n">
        <v>42</v>
      </c>
      <c r="C142" s="17" t="n">
        <f aca="false">B142/100*Notas!$B$3</f>
        <v>39.9</v>
      </c>
      <c r="D142" s="17" t="n">
        <f aca="false">41.31/95*Notas!$B$3</f>
        <v>41.31</v>
      </c>
      <c r="E142" s="17" t="n">
        <f aca="false">16.73/95*Notas!$B$3</f>
        <v>16.73</v>
      </c>
      <c r="F142" s="13" t="n">
        <v>3</v>
      </c>
      <c r="G142" s="17" t="n">
        <f aca="false">20.45/95*Notas!$B$3</f>
        <v>20.45</v>
      </c>
      <c r="H142" s="17" t="n">
        <f aca="false">16.73/95*Notas!$B$3</f>
        <v>16.73</v>
      </c>
      <c r="I142" s="17" t="n">
        <f aca="false">59.69/95*Notas!$B$3</f>
        <v>59.69</v>
      </c>
      <c r="J142" s="17" t="n">
        <f aca="false">120.46/95*Notas!$B$3</f>
        <v>120.46</v>
      </c>
    </row>
    <row r="143" customFormat="false" ht="15" hidden="false" customHeight="false" outlineLevel="0" collapsed="false">
      <c r="A143" s="13" t="s">
        <v>228</v>
      </c>
      <c r="B143" s="13" t="n">
        <v>43</v>
      </c>
      <c r="C143" s="17" t="n">
        <f aca="false">B143/100*Notas!$B$3</f>
        <v>40.85</v>
      </c>
      <c r="D143" s="17" t="n">
        <f aca="false">38.22/95*Notas!$B$3</f>
        <v>38.22</v>
      </c>
      <c r="E143" s="17" t="n">
        <f aca="false">17.01/95*Notas!$B$3</f>
        <v>17.01</v>
      </c>
      <c r="F143" s="13" t="n">
        <v>2</v>
      </c>
      <c r="G143" s="17" t="n">
        <f aca="false">29.59/95*Notas!$B$3</f>
        <v>29.59</v>
      </c>
      <c r="H143" s="17" t="n">
        <f aca="false">17.01/95*Notas!$B$3</f>
        <v>17.01</v>
      </c>
      <c r="I143" s="17" t="n">
        <f aca="false">86.11/95*Notas!$B$3</f>
        <v>86.11</v>
      </c>
      <c r="J143" s="17" t="n">
        <f aca="false">112.95/95*Notas!$B$3</f>
        <v>112.95</v>
      </c>
    </row>
    <row r="144" customFormat="false" ht="15" hidden="false" customHeight="false" outlineLevel="0" collapsed="false">
      <c r="A144" s="13" t="s">
        <v>228</v>
      </c>
      <c r="B144" s="13" t="n">
        <v>44</v>
      </c>
      <c r="C144" s="17" t="n">
        <f aca="false">B144/100*Notas!$B$3</f>
        <v>41.8</v>
      </c>
      <c r="D144" s="17" t="n">
        <f aca="false">37.15/95*Notas!$B$3</f>
        <v>37.15</v>
      </c>
      <c r="E144" s="17" t="n">
        <f aca="false">17.59/95*Notas!$B$3</f>
        <v>17.59</v>
      </c>
      <c r="F144" s="13" t="n">
        <v>1</v>
      </c>
      <c r="G144" s="17" t="n">
        <f aca="false">37.15/95*Notas!$B$3</f>
        <v>37.15</v>
      </c>
      <c r="H144" s="17" t="n">
        <f aca="false">17.59/95*Notas!$B$3</f>
        <v>17.59</v>
      </c>
      <c r="I144" s="17" t="n">
        <f aca="false">108/95*Notas!$B$3</f>
        <v>108</v>
      </c>
      <c r="J144" s="17" t="n">
        <f aca="false">108/95*Notas!$B$3</f>
        <v>108</v>
      </c>
    </row>
    <row r="145" customFormat="false" ht="15" hidden="false" customHeight="false" outlineLevel="0" collapsed="false">
      <c r="A145" s="13" t="s">
        <v>228</v>
      </c>
      <c r="B145" s="13" t="n">
        <v>45</v>
      </c>
      <c r="C145" s="17" t="n">
        <f aca="false">B145/100*Notas!$B$3</f>
        <v>42.75</v>
      </c>
      <c r="D145" s="17" t="n">
        <f aca="false">37.31/95*Notas!$B$3</f>
        <v>37.31</v>
      </c>
      <c r="E145" s="17" t="n">
        <f aca="false">17.69/95*Notas!$B$3</f>
        <v>17.69</v>
      </c>
      <c r="F145" s="13" t="n">
        <v>1</v>
      </c>
      <c r="G145" s="17" t="n">
        <f aca="false">37.31/95*Notas!$B$3</f>
        <v>37.31</v>
      </c>
      <c r="H145" s="17" t="n">
        <f aca="false">17.69/95*Notas!$B$3</f>
        <v>17.69</v>
      </c>
      <c r="I145" s="17" t="n">
        <f aca="false">103.54/95*Notas!$B$3</f>
        <v>103.54</v>
      </c>
      <c r="J145" s="17" t="n">
        <f aca="false">103.54/95*Notas!$B$3</f>
        <v>103.54</v>
      </c>
    </row>
    <row r="146" customFormat="false" ht="15" hidden="false" customHeight="false" outlineLevel="0" collapsed="false">
      <c r="A146" s="13" t="s">
        <v>228</v>
      </c>
      <c r="B146" s="13" t="n">
        <v>46</v>
      </c>
      <c r="C146" s="17" t="n">
        <f aca="false">B146/100*Notas!$B$3</f>
        <v>43.7</v>
      </c>
      <c r="D146" s="17" t="n">
        <f aca="false">36.09/95*Notas!$B$3</f>
        <v>36.09</v>
      </c>
      <c r="E146" s="17" t="n">
        <f aca="false">17.61/95*Notas!$B$3</f>
        <v>17.61</v>
      </c>
      <c r="F146" s="13" t="n">
        <v>1</v>
      </c>
      <c r="G146" s="17" t="n">
        <f aca="false">36.09/95*Notas!$B$3</f>
        <v>36.09</v>
      </c>
      <c r="H146" s="17" t="n">
        <f aca="false">17.61/95*Notas!$B$3</f>
        <v>17.61</v>
      </c>
      <c r="I146" s="17" t="n">
        <f aca="false">97.72/95*Notas!$B$3</f>
        <v>97.72</v>
      </c>
      <c r="J146" s="17" t="n">
        <f aca="false">97.72/95*Notas!$B$3</f>
        <v>97.72</v>
      </c>
    </row>
    <row r="147" customFormat="false" ht="15" hidden="false" customHeight="false" outlineLevel="0" collapsed="false">
      <c r="A147" s="13" t="s">
        <v>228</v>
      </c>
      <c r="B147" s="13" t="n">
        <v>47</v>
      </c>
      <c r="C147" s="17" t="n">
        <f aca="false">B147/100*Notas!$B$3</f>
        <v>44.65</v>
      </c>
      <c r="D147" s="17" t="n">
        <f aca="false">35.22/95*Notas!$B$3</f>
        <v>35.22</v>
      </c>
      <c r="E147" s="17" t="n">
        <f aca="false">17.4/95*Notas!$B$3</f>
        <v>17.4</v>
      </c>
      <c r="F147" s="13" t="n">
        <v>1</v>
      </c>
      <c r="G147" s="17" t="n">
        <f aca="false">35.22/95*Notas!$B$3</f>
        <v>35.22</v>
      </c>
      <c r="H147" s="17" t="n">
        <f aca="false">17.4/95*Notas!$B$3</f>
        <v>17.4</v>
      </c>
      <c r="I147" s="17" t="n">
        <f aca="false">94.05/95*Notas!$B$3</f>
        <v>94.05</v>
      </c>
      <c r="J147" s="17" t="n">
        <f aca="false">94.05/95*Notas!$B$3</f>
        <v>94.05</v>
      </c>
    </row>
    <row r="148" customFormat="false" ht="15" hidden="false" customHeight="false" outlineLevel="0" collapsed="false">
      <c r="A148" s="13" t="s">
        <v>228</v>
      </c>
      <c r="B148" s="13" t="n">
        <v>48</v>
      </c>
      <c r="C148" s="17" t="n">
        <f aca="false">B148/100*Notas!$B$3</f>
        <v>45.6</v>
      </c>
      <c r="D148" s="17" t="n">
        <f aca="false">34.38/95*Notas!$B$3</f>
        <v>34.38</v>
      </c>
      <c r="E148" s="17" t="n">
        <f aca="false">17.25/95*Notas!$B$3</f>
        <v>17.25</v>
      </c>
      <c r="F148" s="13" t="n">
        <v>1</v>
      </c>
      <c r="G148" s="17" t="n">
        <f aca="false">34.38/95*Notas!$B$3</f>
        <v>34.38</v>
      </c>
      <c r="H148" s="17" t="n">
        <f aca="false">17.25/95*Notas!$B$3</f>
        <v>17.25</v>
      </c>
      <c r="I148" s="17" t="n">
        <f aca="false">91.26/95*Notas!$B$3</f>
        <v>91.26</v>
      </c>
      <c r="J148" s="17" t="n">
        <f aca="false">91.26/95*Notas!$B$3</f>
        <v>91.26</v>
      </c>
    </row>
    <row r="149" customFormat="false" ht="15" hidden="false" customHeight="false" outlineLevel="0" collapsed="false">
      <c r="A149" s="13" t="s">
        <v>228</v>
      </c>
      <c r="B149" s="13" t="n">
        <v>49</v>
      </c>
      <c r="C149" s="17" t="n">
        <f aca="false">B149/100*Notas!$B$3</f>
        <v>46.55</v>
      </c>
      <c r="D149" s="17" t="n">
        <f aca="false">33.53/95*Notas!$B$3</f>
        <v>33.53</v>
      </c>
      <c r="E149" s="17" t="n">
        <f aca="false">16.82/95*Notas!$B$3</f>
        <v>16.82</v>
      </c>
      <c r="F149" s="13" t="n">
        <v>1</v>
      </c>
      <c r="G149" s="17" t="n">
        <f aca="false">33.53/95*Notas!$B$3</f>
        <v>33.53</v>
      </c>
      <c r="H149" s="17" t="n">
        <f aca="false">16.82/95*Notas!$B$3</f>
        <v>16.82</v>
      </c>
      <c r="I149" s="17" t="n">
        <f aca="false">88.85/95*Notas!$B$3</f>
        <v>88.85</v>
      </c>
      <c r="J149" s="17" t="n">
        <f aca="false">88.85/95*Notas!$B$3</f>
        <v>88.85</v>
      </c>
    </row>
    <row r="150" customFormat="false" ht="15" hidden="false" customHeight="false" outlineLevel="0" collapsed="false">
      <c r="A150" s="13" t="s">
        <v>228</v>
      </c>
      <c r="B150" s="13" t="n">
        <v>50</v>
      </c>
      <c r="C150" s="17" t="n">
        <f aca="false">B150/100*Notas!$B$3</f>
        <v>47.5</v>
      </c>
      <c r="D150" s="17" t="n">
        <f aca="false">32.58/95*Notas!$B$3</f>
        <v>32.58</v>
      </c>
      <c r="E150" s="17" t="n">
        <f aca="false">16.39/95*Notas!$B$3</f>
        <v>16.39</v>
      </c>
      <c r="F150" s="13" t="n">
        <v>1</v>
      </c>
      <c r="G150" s="17" t="n">
        <f aca="false">32.58/95*Notas!$B$3</f>
        <v>32.58</v>
      </c>
      <c r="H150" s="17" t="n">
        <f aca="false">16.39/95*Notas!$B$3</f>
        <v>16.39</v>
      </c>
      <c r="I150" s="17" t="n">
        <f aca="false">87.58/95*Notas!$B$3</f>
        <v>87.58</v>
      </c>
      <c r="J150" s="17" t="n">
        <f aca="false">87.58/95*Notas!$B$3</f>
        <v>87.58</v>
      </c>
    </row>
    <row r="151" customFormat="false" ht="15" hidden="false" customHeight="false" outlineLevel="0" collapsed="false">
      <c r="A151" s="13" t="s">
        <v>228</v>
      </c>
      <c r="B151" s="13" t="n">
        <v>51</v>
      </c>
      <c r="C151" s="17" t="n">
        <f aca="false">B151/100*Notas!$B$3</f>
        <v>48.45</v>
      </c>
      <c r="D151" s="17" t="n">
        <f aca="false">31.62/95*Notas!$B$3</f>
        <v>31.62</v>
      </c>
      <c r="E151" s="17" t="n">
        <f aca="false">15.43/95*Notas!$B$3</f>
        <v>15.43</v>
      </c>
      <c r="F151" s="13" t="n">
        <v>1</v>
      </c>
      <c r="G151" s="17" t="n">
        <f aca="false">31.62/95*Notas!$B$3</f>
        <v>31.62</v>
      </c>
      <c r="H151" s="17" t="n">
        <f aca="false">15.43/95*Notas!$B$3</f>
        <v>15.43</v>
      </c>
      <c r="I151" s="17" t="n">
        <f aca="false">85.51/95*Notas!$B$3</f>
        <v>85.51</v>
      </c>
      <c r="J151" s="17" t="n">
        <f aca="false">85.51/95*Notas!$B$3</f>
        <v>85.51</v>
      </c>
    </row>
    <row r="152" customFormat="false" ht="15" hidden="false" customHeight="false" outlineLevel="0" collapsed="false">
      <c r="A152" s="13" t="s">
        <v>228</v>
      </c>
      <c r="B152" s="13" t="n">
        <v>52</v>
      </c>
      <c r="C152" s="17" t="n">
        <f aca="false">B152/100*Notas!$B$3</f>
        <v>49.4</v>
      </c>
      <c r="D152" s="17" t="n">
        <f aca="false">30.35/95*Notas!$B$3</f>
        <v>30.35</v>
      </c>
      <c r="E152" s="17" t="n">
        <f aca="false">14.49/95*Notas!$B$3</f>
        <v>14.49</v>
      </c>
      <c r="F152" s="13" t="n">
        <v>1</v>
      </c>
      <c r="G152" s="17" t="n">
        <f aca="false">30.35/95*Notas!$B$3</f>
        <v>30.35</v>
      </c>
      <c r="H152" s="17" t="n">
        <f aca="false">14.49/95*Notas!$B$3</f>
        <v>14.49</v>
      </c>
      <c r="I152" s="17" t="n">
        <f aca="false">83.21/95*Notas!$B$3</f>
        <v>83.21</v>
      </c>
      <c r="J152" s="17" t="n">
        <f aca="false">83.21/95*Notas!$B$3</f>
        <v>83.21</v>
      </c>
    </row>
    <row r="153" customFormat="false" ht="15" hidden="false" customHeight="false" outlineLevel="0" collapsed="false">
      <c r="A153" s="13" t="s">
        <v>228</v>
      </c>
      <c r="B153" s="13" t="n">
        <v>53</v>
      </c>
      <c r="C153" s="17" t="n">
        <f aca="false">B153/100*Notas!$B$3</f>
        <v>50.35</v>
      </c>
      <c r="D153" s="17" t="n">
        <f aca="false">28.33/95*Notas!$B$3</f>
        <v>28.33</v>
      </c>
      <c r="E153" s="17" t="n">
        <f aca="false">13.54/95*Notas!$B$3</f>
        <v>13.54</v>
      </c>
      <c r="F153" s="13" t="n">
        <v>1</v>
      </c>
      <c r="G153" s="17" t="n">
        <f aca="false">28.33/95*Notas!$B$3</f>
        <v>28.33</v>
      </c>
      <c r="H153" s="17" t="n">
        <f aca="false">13.54/95*Notas!$B$3</f>
        <v>13.54</v>
      </c>
      <c r="I153" s="17" t="n">
        <f aca="false">81.01/95*Notas!$B$3</f>
        <v>81.01</v>
      </c>
      <c r="J153" s="17" t="n">
        <f aca="false">81.01/95*Notas!$B$3</f>
        <v>81.01</v>
      </c>
    </row>
    <row r="154" customFormat="false" ht="15" hidden="false" customHeight="false" outlineLevel="0" collapsed="false">
      <c r="A154" s="13" t="s">
        <v>228</v>
      </c>
      <c r="B154" s="13" t="n">
        <v>54</v>
      </c>
      <c r="C154" s="17" t="n">
        <f aca="false">B154/100*Notas!$B$3</f>
        <v>51.3</v>
      </c>
      <c r="D154" s="17" t="n">
        <f aca="false">18.42/95*Notas!$B$3</f>
        <v>18.42</v>
      </c>
      <c r="E154" s="17" t="n">
        <f aca="false">17.04/95*Notas!$B$3</f>
        <v>17.04</v>
      </c>
      <c r="F154" s="13" t="n">
        <v>3</v>
      </c>
      <c r="G154" s="17" t="n">
        <f aca="false">18.42/95*Notas!$B$3</f>
        <v>18.42</v>
      </c>
      <c r="H154" s="17" t="n">
        <f aca="false">12.55/95*Notas!$B$3</f>
        <v>12.55</v>
      </c>
      <c r="I154" s="17" t="n">
        <f aca="false">59.32/95*Notas!$B$3</f>
        <v>59.32</v>
      </c>
      <c r="J154" s="17" t="n">
        <f aca="false">65.37/95*Notas!$B$3</f>
        <v>65.37</v>
      </c>
    </row>
    <row r="155" customFormat="false" ht="15" hidden="false" customHeight="false" outlineLevel="0" collapsed="false">
      <c r="A155" s="13" t="s">
        <v>228</v>
      </c>
      <c r="B155" s="13" t="n">
        <v>55</v>
      </c>
      <c r="C155" s="17" t="n">
        <f aca="false">B155/100*Notas!$B$3</f>
        <v>52.25</v>
      </c>
      <c r="D155" s="17" t="n">
        <f aca="false">25.9/95*Notas!$B$3</f>
        <v>25.9</v>
      </c>
      <c r="E155" s="17" t="n">
        <f aca="false">17.05/95*Notas!$B$3</f>
        <v>17.05</v>
      </c>
      <c r="F155" s="13" t="n">
        <v>7</v>
      </c>
      <c r="G155" s="17" t="n">
        <f aca="false">17.12/95*Notas!$B$3</f>
        <v>17.12</v>
      </c>
      <c r="H155" s="17" t="n">
        <f aca="false">11.48/95*Notas!$B$3</f>
        <v>11.48</v>
      </c>
      <c r="I155" s="17" t="n">
        <f aca="false">54.51/95*Notas!$B$3</f>
        <v>54.51</v>
      </c>
      <c r="J155" s="17" t="n">
        <f aca="false">92.02/95*Notas!$B$3</f>
        <v>92.02</v>
      </c>
    </row>
    <row r="156" customFormat="false" ht="15" hidden="false" customHeight="false" outlineLevel="0" collapsed="false">
      <c r="A156" s="13" t="s">
        <v>228</v>
      </c>
      <c r="B156" s="13" t="n">
        <v>56</v>
      </c>
      <c r="C156" s="17" t="n">
        <f aca="false">B156/100*Notas!$B$3</f>
        <v>53.2</v>
      </c>
      <c r="D156" s="17" t="n">
        <f aca="false">26.95/95*Notas!$B$3</f>
        <v>26.95</v>
      </c>
      <c r="E156" s="17" t="n">
        <f aca="false">16.76/95*Notas!$B$3</f>
        <v>16.76</v>
      </c>
      <c r="F156" s="13" t="n">
        <v>5</v>
      </c>
      <c r="G156" s="17" t="n">
        <f aca="false">15/95*Notas!$B$3</f>
        <v>15</v>
      </c>
      <c r="H156" s="17" t="n">
        <f aca="false">10.22/95*Notas!$B$3</f>
        <v>10.22</v>
      </c>
      <c r="I156" s="17" t="n">
        <f aca="false">52.4/95*Notas!$B$3</f>
        <v>52.4</v>
      </c>
      <c r="J156" s="17" t="n">
        <f aca="false">94.69/95*Notas!$B$3</f>
        <v>94.69</v>
      </c>
    </row>
    <row r="157" customFormat="false" ht="15" hidden="false" customHeight="false" outlineLevel="0" collapsed="false">
      <c r="A157" s="13" t="s">
        <v>228</v>
      </c>
      <c r="B157" s="13" t="n">
        <v>57</v>
      </c>
      <c r="C157" s="17" t="n">
        <f aca="false">B157/100*Notas!$B$3</f>
        <v>54.15</v>
      </c>
      <c r="D157" s="17" t="n">
        <f aca="false">27.72/95*Notas!$B$3</f>
        <v>27.72</v>
      </c>
      <c r="E157" s="17" t="n">
        <f aca="false">21.87/95*Notas!$B$3</f>
        <v>21.87</v>
      </c>
      <c r="F157" s="13" t="n">
        <v>6</v>
      </c>
      <c r="G157" s="17" t="n">
        <f aca="false">15.4/95*Notas!$B$3</f>
        <v>15.4</v>
      </c>
      <c r="H157" s="17" t="n">
        <f aca="false">21.87/95*Notas!$B$3</f>
        <v>21.87</v>
      </c>
      <c r="I157" s="17" t="n">
        <f aca="false">65.27/95*Notas!$B$3</f>
        <v>65.27</v>
      </c>
      <c r="J157" s="17" t="n">
        <f aca="false">114.91/95*Notas!$B$3</f>
        <v>114.91</v>
      </c>
    </row>
    <row r="158" customFormat="false" ht="15" hidden="false" customHeight="false" outlineLevel="0" collapsed="false">
      <c r="A158" s="13" t="s">
        <v>228</v>
      </c>
      <c r="B158" s="13" t="n">
        <v>58</v>
      </c>
      <c r="C158" s="17" t="n">
        <f aca="false">B158/100*Notas!$B$3</f>
        <v>55.1</v>
      </c>
      <c r="D158" s="17" t="n">
        <f aca="false">29.99/95*Notas!$B$3</f>
        <v>29.99</v>
      </c>
      <c r="E158" s="17" t="n">
        <f aca="false">24.84/95*Notas!$B$3</f>
        <v>24.84</v>
      </c>
      <c r="F158" s="13" t="n">
        <v>5</v>
      </c>
      <c r="G158" s="17" t="n">
        <f aca="false">23.02/95*Notas!$B$3</f>
        <v>23.02</v>
      </c>
      <c r="H158" s="17" t="n">
        <f aca="false">24.83/95*Notas!$B$3</f>
        <v>24.83</v>
      </c>
      <c r="I158" s="17" t="n">
        <f aca="false">77.41/95*Notas!$B$3</f>
        <v>77.41</v>
      </c>
      <c r="J158" s="17" t="n">
        <f aca="false">127.74/95*Notas!$B$3</f>
        <v>127.74</v>
      </c>
    </row>
    <row r="159" customFormat="false" ht="15" hidden="false" customHeight="false" outlineLevel="0" collapsed="false">
      <c r="A159" s="13" t="s">
        <v>228</v>
      </c>
      <c r="B159" s="13" t="n">
        <v>59</v>
      </c>
      <c r="C159" s="17" t="n">
        <f aca="false">B159/100*Notas!$B$3</f>
        <v>56.05</v>
      </c>
      <c r="D159" s="17" t="n">
        <f aca="false">41.54/95*Notas!$B$3</f>
        <v>41.54</v>
      </c>
      <c r="E159" s="17" t="n">
        <f aca="false">27.27/95*Notas!$B$3</f>
        <v>27.27</v>
      </c>
      <c r="F159" s="13" t="n">
        <v>8</v>
      </c>
      <c r="G159" s="17" t="n">
        <f aca="false">25.14/95*Notas!$B$3</f>
        <v>25.14</v>
      </c>
      <c r="H159" s="17" t="n">
        <f aca="false">25.72/95*Notas!$B$3</f>
        <v>25.72</v>
      </c>
      <c r="I159" s="17" t="n">
        <f aca="false">89.46/95*Notas!$B$3</f>
        <v>89.46</v>
      </c>
      <c r="J159" s="17" t="n">
        <f aca="false">173.62/95*Notas!$B$3</f>
        <v>173.62</v>
      </c>
    </row>
    <row r="160" customFormat="false" ht="15" hidden="false" customHeight="false" outlineLevel="0" collapsed="false">
      <c r="A160" s="13" t="s">
        <v>228</v>
      </c>
      <c r="B160" s="13" t="n">
        <v>60</v>
      </c>
      <c r="C160" s="17" t="n">
        <f aca="false">B160/100*Notas!$B$3</f>
        <v>57</v>
      </c>
      <c r="D160" s="17" t="n">
        <f aca="false">43.26/95*Notas!$B$3</f>
        <v>43.26</v>
      </c>
      <c r="E160" s="17" t="n">
        <f aca="false">27.99/95*Notas!$B$3</f>
        <v>27.99</v>
      </c>
      <c r="F160" s="13" t="n">
        <v>4</v>
      </c>
      <c r="G160" s="17" t="n">
        <f aca="false">43.26/95*Notas!$B$3</f>
        <v>43.26</v>
      </c>
      <c r="H160" s="17" t="n">
        <f aca="false">26.12/95*Notas!$B$3</f>
        <v>26.12</v>
      </c>
      <c r="I160" s="17" t="n">
        <f aca="false">137.1/95*Notas!$B$3</f>
        <v>137.1</v>
      </c>
      <c r="J160" s="17" t="n">
        <f aca="false">157.38/95*Notas!$B$3</f>
        <v>157.38</v>
      </c>
    </row>
    <row r="161" customFormat="false" ht="15" hidden="false" customHeight="false" outlineLevel="0" collapsed="false">
      <c r="A161" s="13" t="s">
        <v>228</v>
      </c>
      <c r="B161" s="13" t="n">
        <v>61</v>
      </c>
      <c r="C161" s="17" t="n">
        <f aca="false">B161/100*Notas!$B$3</f>
        <v>57.95</v>
      </c>
      <c r="D161" s="17" t="n">
        <f aca="false">44.13/95*Notas!$B$3</f>
        <v>44.13</v>
      </c>
      <c r="E161" s="17" t="n">
        <f aca="false">28.56/95*Notas!$B$3</f>
        <v>28.56</v>
      </c>
      <c r="F161" s="13" t="n">
        <v>4</v>
      </c>
      <c r="G161" s="17" t="n">
        <f aca="false">44.13/95*Notas!$B$3</f>
        <v>44.13</v>
      </c>
      <c r="H161" s="17" t="n">
        <f aca="false">26.36/95*Notas!$B$3</f>
        <v>26.36</v>
      </c>
      <c r="I161" s="17" t="n">
        <f aca="false">130.39/95*Notas!$B$3</f>
        <v>130.39</v>
      </c>
      <c r="J161" s="17" t="n">
        <f aca="false">148.66/95*Notas!$B$3</f>
        <v>148.66</v>
      </c>
    </row>
    <row r="162" customFormat="false" ht="15" hidden="false" customHeight="false" outlineLevel="0" collapsed="false">
      <c r="A162" s="13" t="s">
        <v>228</v>
      </c>
      <c r="B162" s="13" t="n">
        <v>62</v>
      </c>
      <c r="C162" s="17" t="n">
        <f aca="false">B162/100*Notas!$B$3</f>
        <v>58.9</v>
      </c>
      <c r="D162" s="17" t="n">
        <f aca="false">44.39/95*Notas!$B$3</f>
        <v>44.39</v>
      </c>
      <c r="E162" s="17" t="n">
        <f aca="false">29/95*Notas!$B$3</f>
        <v>29</v>
      </c>
      <c r="F162" s="13" t="n">
        <v>3</v>
      </c>
      <c r="G162" s="17" t="n">
        <f aca="false">44.39/95*Notas!$B$3</f>
        <v>44.39</v>
      </c>
      <c r="H162" s="17" t="n">
        <f aca="false">26.44/95*Notas!$B$3</f>
        <v>26.44</v>
      </c>
      <c r="I162" s="17" t="n">
        <f aca="false">127.05/95*Notas!$B$3</f>
        <v>127.05</v>
      </c>
      <c r="J162" s="17" t="n">
        <f aca="false">144.48/95*Notas!$B$3</f>
        <v>144.48</v>
      </c>
    </row>
    <row r="163" customFormat="false" ht="15" hidden="false" customHeight="false" outlineLevel="0" collapsed="false">
      <c r="A163" s="13" t="s">
        <v>228</v>
      </c>
      <c r="B163" s="13" t="n">
        <v>63</v>
      </c>
      <c r="C163" s="17" t="n">
        <f aca="false">B163/100*Notas!$B$3</f>
        <v>59.85</v>
      </c>
      <c r="D163" s="17" t="n">
        <f aca="false">44.63/95*Notas!$B$3</f>
        <v>44.63</v>
      </c>
      <c r="E163" s="17" t="n">
        <f aca="false">29.44/95*Notas!$B$3</f>
        <v>29.44</v>
      </c>
      <c r="F163" s="13" t="n">
        <v>3</v>
      </c>
      <c r="G163" s="17" t="n">
        <f aca="false">44.63/95*Notas!$B$3</f>
        <v>44.63</v>
      </c>
      <c r="H163" s="17" t="n">
        <f aca="false">26.51/95*Notas!$B$3</f>
        <v>26.51</v>
      </c>
      <c r="I163" s="17" t="n">
        <f aca="false">126.18/95*Notas!$B$3</f>
        <v>126.18</v>
      </c>
      <c r="J163" s="17" t="n">
        <f aca="false">146.67/95*Notas!$B$3</f>
        <v>146.67</v>
      </c>
    </row>
    <row r="164" customFormat="false" ht="15" hidden="false" customHeight="false" outlineLevel="0" collapsed="false">
      <c r="A164" s="13" t="s">
        <v>228</v>
      </c>
      <c r="B164" s="13" t="n">
        <v>64</v>
      </c>
      <c r="C164" s="17" t="n">
        <f aca="false">B164/100*Notas!$B$3</f>
        <v>60.8</v>
      </c>
      <c r="D164" s="17" t="n">
        <f aca="false">44.87/95*Notas!$B$3</f>
        <v>44.87</v>
      </c>
      <c r="E164" s="17" t="n">
        <f aca="false">29.84/95*Notas!$B$3</f>
        <v>29.84</v>
      </c>
      <c r="F164" s="13" t="n">
        <v>3</v>
      </c>
      <c r="G164" s="17" t="n">
        <f aca="false">44.87/95*Notas!$B$3</f>
        <v>44.87</v>
      </c>
      <c r="H164" s="17" t="n">
        <f aca="false">26.53/95*Notas!$B$3</f>
        <v>26.53</v>
      </c>
      <c r="I164" s="17" t="n">
        <f aca="false">125.16/95*Notas!$B$3</f>
        <v>125.16</v>
      </c>
      <c r="J164" s="17" t="n">
        <f aca="false">148.81/95*Notas!$B$3</f>
        <v>148.81</v>
      </c>
    </row>
    <row r="165" customFormat="false" ht="15" hidden="false" customHeight="false" outlineLevel="0" collapsed="false">
      <c r="A165" s="13" t="s">
        <v>228</v>
      </c>
      <c r="B165" s="13" t="n">
        <v>65</v>
      </c>
      <c r="C165" s="17" t="n">
        <f aca="false">B165/100*Notas!$B$3</f>
        <v>61.75</v>
      </c>
      <c r="D165" s="17" t="n">
        <f aca="false">44.96/95*Notas!$B$3</f>
        <v>44.96</v>
      </c>
      <c r="E165" s="17" t="n">
        <f aca="false">30.21/95*Notas!$B$3</f>
        <v>30.21</v>
      </c>
      <c r="F165" s="13" t="n">
        <v>3</v>
      </c>
      <c r="G165" s="17" t="n">
        <f aca="false">44.96/95*Notas!$B$3</f>
        <v>44.96</v>
      </c>
      <c r="H165" s="17" t="n">
        <f aca="false">26.51/95*Notas!$B$3</f>
        <v>26.51</v>
      </c>
      <c r="I165" s="17" t="n">
        <f aca="false">124.74/95*Notas!$B$3</f>
        <v>124.74</v>
      </c>
      <c r="J165" s="17" t="n">
        <f aca="false">151.37/95*Notas!$B$3</f>
        <v>151.37</v>
      </c>
    </row>
    <row r="166" customFormat="false" ht="15" hidden="false" customHeight="false" outlineLevel="0" collapsed="false">
      <c r="A166" s="13" t="s">
        <v>228</v>
      </c>
      <c r="B166" s="13" t="n">
        <v>66</v>
      </c>
      <c r="C166" s="17" t="n">
        <f aca="false">B166/100*Notas!$B$3</f>
        <v>62.7</v>
      </c>
      <c r="D166" s="17" t="n">
        <f aca="false">44.94/95*Notas!$B$3</f>
        <v>44.94</v>
      </c>
      <c r="E166" s="17" t="n">
        <f aca="false">30.66/95*Notas!$B$3</f>
        <v>30.66</v>
      </c>
      <c r="F166" s="13" t="n">
        <v>3</v>
      </c>
      <c r="G166" s="17" t="n">
        <f aca="false">44.94/95*Notas!$B$3</f>
        <v>44.94</v>
      </c>
      <c r="H166" s="17" t="n">
        <f aca="false">26.77/95*Notas!$B$3</f>
        <v>26.77</v>
      </c>
      <c r="I166" s="17" t="n">
        <f aca="false">124.3/95*Notas!$B$3</f>
        <v>124.3</v>
      </c>
      <c r="J166" s="17" t="n">
        <f aca="false">153.93/95*Notas!$B$3</f>
        <v>153.93</v>
      </c>
    </row>
    <row r="167" customFormat="false" ht="15" hidden="false" customHeight="false" outlineLevel="0" collapsed="false">
      <c r="A167" s="13" t="s">
        <v>228</v>
      </c>
      <c r="B167" s="13" t="n">
        <v>67</v>
      </c>
      <c r="C167" s="17" t="n">
        <f aca="false">B167/100*Notas!$B$3</f>
        <v>63.65</v>
      </c>
      <c r="D167" s="17" t="n">
        <f aca="false">44.91/95*Notas!$B$3</f>
        <v>44.91</v>
      </c>
      <c r="E167" s="17" t="n">
        <f aca="false">31.17/95*Notas!$B$3</f>
        <v>31.17</v>
      </c>
      <c r="F167" s="13" t="n">
        <v>3</v>
      </c>
      <c r="G167" s="17" t="n">
        <f aca="false">44.91/95*Notas!$B$3</f>
        <v>44.91</v>
      </c>
      <c r="H167" s="17" t="n">
        <f aca="false">29.35/95*Notas!$B$3</f>
        <v>29.35</v>
      </c>
      <c r="I167" s="17" t="n">
        <f aca="false">127.12/95*Notas!$B$3</f>
        <v>127.12</v>
      </c>
      <c r="J167" s="17" t="n">
        <f aca="false">159.63/95*Notas!$B$3</f>
        <v>159.63</v>
      </c>
    </row>
    <row r="168" customFormat="false" ht="15" hidden="false" customHeight="false" outlineLevel="0" collapsed="false">
      <c r="A168" s="13" t="s">
        <v>228</v>
      </c>
      <c r="B168" s="13" t="n">
        <v>68</v>
      </c>
      <c r="C168" s="17" t="n">
        <f aca="false">B168/100*Notas!$B$3</f>
        <v>64.6</v>
      </c>
      <c r="D168" s="17" t="n">
        <f aca="false">43.34/95*Notas!$B$3</f>
        <v>43.34</v>
      </c>
      <c r="E168" s="17" t="n">
        <f aca="false">31.66/95*Notas!$B$3</f>
        <v>31.66</v>
      </c>
      <c r="F168" s="13" t="n">
        <v>4</v>
      </c>
      <c r="G168" s="17" t="n">
        <f aca="false">43.34/95*Notas!$B$3</f>
        <v>43.34</v>
      </c>
      <c r="H168" s="17" t="n">
        <f aca="false">29.31/95*Notas!$B$3</f>
        <v>29.31</v>
      </c>
      <c r="I168" s="17" t="n">
        <f aca="false">130.38/95*Notas!$B$3</f>
        <v>130.38</v>
      </c>
      <c r="J168" s="17" t="n">
        <f aca="false">166.23/95*Notas!$B$3</f>
        <v>166.23</v>
      </c>
    </row>
    <row r="169" customFormat="false" ht="15" hidden="false" customHeight="false" outlineLevel="0" collapsed="false">
      <c r="A169" s="13" t="s">
        <v>228</v>
      </c>
      <c r="B169" s="13" t="n">
        <v>69</v>
      </c>
      <c r="C169" s="17" t="n">
        <f aca="false">B169/100*Notas!$B$3</f>
        <v>65.55</v>
      </c>
      <c r="D169" s="17" t="n">
        <f aca="false">41.23/95*Notas!$B$3</f>
        <v>41.23</v>
      </c>
      <c r="E169" s="17" t="n">
        <f aca="false">33/95*Notas!$B$3</f>
        <v>33</v>
      </c>
      <c r="F169" s="13" t="n">
        <v>3</v>
      </c>
      <c r="G169" s="17" t="n">
        <f aca="false">41.23/95*Notas!$B$3</f>
        <v>41.23</v>
      </c>
      <c r="H169" s="17" t="n">
        <f aca="false">30.07/95*Notas!$B$3</f>
        <v>30.07</v>
      </c>
      <c r="I169" s="17" t="n">
        <f aca="false">129.26/95*Notas!$B$3</f>
        <v>129.26</v>
      </c>
      <c r="J169" s="17" t="n">
        <f aca="false">167.26/95*Notas!$B$3</f>
        <v>167.26</v>
      </c>
    </row>
    <row r="170" customFormat="false" ht="15" hidden="false" customHeight="false" outlineLevel="0" collapsed="false">
      <c r="A170" s="13" t="s">
        <v>228</v>
      </c>
      <c r="B170" s="13" t="n">
        <v>70</v>
      </c>
      <c r="C170" s="17" t="n">
        <f aca="false">B170/100*Notas!$B$3</f>
        <v>66.5</v>
      </c>
      <c r="D170" s="17" t="n">
        <f aca="false">38.46/95*Notas!$B$3</f>
        <v>38.46</v>
      </c>
      <c r="E170" s="17" t="n">
        <f aca="false">33.98/95*Notas!$B$3</f>
        <v>33.98</v>
      </c>
      <c r="F170" s="13" t="n">
        <v>3</v>
      </c>
      <c r="G170" s="17" t="n">
        <f aca="false">37.83/95*Notas!$B$3</f>
        <v>37.83</v>
      </c>
      <c r="H170" s="17" t="n">
        <f aca="false">28.01/95*Notas!$B$3</f>
        <v>28.01</v>
      </c>
      <c r="I170" s="17" t="n">
        <f aca="false">116.04/95*Notas!$B$3</f>
        <v>116.04</v>
      </c>
      <c r="J170" s="17" t="n">
        <f aca="false">156.54/95*Notas!$B$3</f>
        <v>156.54</v>
      </c>
    </row>
    <row r="171" customFormat="false" ht="15" hidden="false" customHeight="false" outlineLevel="0" collapsed="false">
      <c r="A171" s="13" t="s">
        <v>228</v>
      </c>
      <c r="B171" s="13" t="n">
        <v>71</v>
      </c>
      <c r="C171" s="17" t="n">
        <f aca="false">B171/100*Notas!$B$3</f>
        <v>67.45</v>
      </c>
      <c r="D171" s="17" t="n">
        <f aca="false">39.89/95*Notas!$B$3</f>
        <v>39.89</v>
      </c>
      <c r="E171" s="17" t="n">
        <f aca="false">34.84/95*Notas!$B$3</f>
        <v>34.84</v>
      </c>
      <c r="F171" s="13" t="n">
        <v>3</v>
      </c>
      <c r="G171" s="17" t="n">
        <f aca="false">39.24/95*Notas!$B$3</f>
        <v>39.24</v>
      </c>
      <c r="H171" s="17" t="n">
        <f aca="false">28.36/95*Notas!$B$3</f>
        <v>28.36</v>
      </c>
      <c r="I171" s="17" t="n">
        <f aca="false">117.89/95*Notas!$B$3</f>
        <v>117.89</v>
      </c>
      <c r="J171" s="17" t="n">
        <f aca="false">161.06/95*Notas!$B$3</f>
        <v>161.06</v>
      </c>
    </row>
    <row r="172" customFormat="false" ht="15" hidden="false" customHeight="false" outlineLevel="0" collapsed="false">
      <c r="A172" s="13" t="s">
        <v>228</v>
      </c>
      <c r="B172" s="13" t="n">
        <v>72</v>
      </c>
      <c r="C172" s="17" t="n">
        <f aca="false">B172/100*Notas!$B$3</f>
        <v>68.4</v>
      </c>
      <c r="D172" s="17" t="n">
        <f aca="false">42.01/95*Notas!$B$3</f>
        <v>42.01</v>
      </c>
      <c r="E172" s="17" t="n">
        <f aca="false">35.64/95*Notas!$B$3</f>
        <v>35.64</v>
      </c>
      <c r="F172" s="13" t="n">
        <v>3</v>
      </c>
      <c r="G172" s="17" t="n">
        <f aca="false">42.01/95*Notas!$B$3</f>
        <v>42.01</v>
      </c>
      <c r="H172" s="17" t="n">
        <f aca="false">28.69/95*Notas!$B$3</f>
        <v>28.69</v>
      </c>
      <c r="I172" s="17" t="n">
        <f aca="false">123.08/95*Notas!$B$3</f>
        <v>123.08</v>
      </c>
      <c r="J172" s="17" t="n">
        <f aca="false">168.88/95*Notas!$B$3</f>
        <v>168.88</v>
      </c>
    </row>
    <row r="173" customFormat="false" ht="15" hidden="false" customHeight="false" outlineLevel="0" collapsed="false">
      <c r="A173" s="13" t="s">
        <v>228</v>
      </c>
      <c r="B173" s="13" t="n">
        <v>73</v>
      </c>
      <c r="C173" s="17" t="n">
        <f aca="false">B173/100*Notas!$B$3</f>
        <v>69.35</v>
      </c>
      <c r="D173" s="17" t="n">
        <f aca="false">46.19/95*Notas!$B$3</f>
        <v>46.19</v>
      </c>
      <c r="E173" s="17" t="n">
        <f aca="false">36.36/95*Notas!$B$3</f>
        <v>36.36</v>
      </c>
      <c r="F173" s="13" t="n">
        <v>3</v>
      </c>
      <c r="G173" s="17" t="n">
        <f aca="false">46.19/95*Notas!$B$3</f>
        <v>46.19</v>
      </c>
      <c r="H173" s="17" t="n">
        <f aca="false">28.99/95*Notas!$B$3</f>
        <v>28.99</v>
      </c>
      <c r="I173" s="17" t="n">
        <f aca="false">129.97/95*Notas!$B$3</f>
        <v>129.97</v>
      </c>
      <c r="J173" s="17" t="n">
        <f aca="false">178.36/95*Notas!$B$3</f>
        <v>178.36</v>
      </c>
    </row>
    <row r="174" customFormat="false" ht="15" hidden="false" customHeight="false" outlineLevel="0" collapsed="false">
      <c r="A174" s="13" t="s">
        <v>228</v>
      </c>
      <c r="B174" s="13" t="n">
        <v>74</v>
      </c>
      <c r="C174" s="17" t="n">
        <f aca="false">B174/100*Notas!$B$3</f>
        <v>70.3</v>
      </c>
      <c r="D174" s="17" t="n">
        <f aca="false">47.3/95*Notas!$B$3</f>
        <v>47.3</v>
      </c>
      <c r="E174" s="17" t="n">
        <f aca="false">36.57/95*Notas!$B$3</f>
        <v>36.57</v>
      </c>
      <c r="F174" s="13" t="n">
        <v>3</v>
      </c>
      <c r="G174" s="17" t="n">
        <f aca="false">47.3/95*Notas!$B$3</f>
        <v>47.3</v>
      </c>
      <c r="H174" s="17" t="n">
        <f aca="false">29.34/95*Notas!$B$3</f>
        <v>29.34</v>
      </c>
      <c r="I174" s="17" t="n">
        <f aca="false">131.67/95*Notas!$B$3</f>
        <v>131.67</v>
      </c>
      <c r="J174" s="17" t="n">
        <f aca="false">181.95/95*Notas!$B$3</f>
        <v>181.95</v>
      </c>
    </row>
    <row r="175" customFormat="false" ht="15" hidden="false" customHeight="false" outlineLevel="0" collapsed="false">
      <c r="A175" s="13" t="s">
        <v>228</v>
      </c>
      <c r="B175" s="13" t="n">
        <v>75</v>
      </c>
      <c r="C175" s="17" t="n">
        <f aca="false">B175/100*Notas!$B$3</f>
        <v>71.25</v>
      </c>
      <c r="D175" s="17" t="n">
        <f aca="false">47.15/95*Notas!$B$3</f>
        <v>47.15</v>
      </c>
      <c r="E175" s="17" t="n">
        <f aca="false">36.7/95*Notas!$B$3</f>
        <v>36.7</v>
      </c>
      <c r="F175" s="13" t="n">
        <v>3</v>
      </c>
      <c r="G175" s="17" t="n">
        <f aca="false">47.15/95*Notas!$B$3</f>
        <v>47.15</v>
      </c>
      <c r="H175" s="17" t="n">
        <f aca="false">29.63/95*Notas!$B$3</f>
        <v>29.63</v>
      </c>
      <c r="I175" s="17" t="n">
        <f aca="false">130.98/95*Notas!$B$3</f>
        <v>130.98</v>
      </c>
      <c r="J175" s="17" t="n">
        <f aca="false">182.54/95*Notas!$B$3</f>
        <v>182.54</v>
      </c>
    </row>
    <row r="176" customFormat="false" ht="15" hidden="false" customHeight="false" outlineLevel="0" collapsed="false">
      <c r="A176" s="13" t="s">
        <v>228</v>
      </c>
      <c r="B176" s="13" t="n">
        <v>76</v>
      </c>
      <c r="C176" s="17" t="n">
        <f aca="false">B176/100*Notas!$B$3</f>
        <v>72.2</v>
      </c>
      <c r="D176" s="17" t="n">
        <f aca="false">47.01/95*Notas!$B$3</f>
        <v>47.01</v>
      </c>
      <c r="E176" s="17" t="n">
        <f aca="false">36.93/95*Notas!$B$3</f>
        <v>36.93</v>
      </c>
      <c r="F176" s="13" t="n">
        <v>3</v>
      </c>
      <c r="G176" s="17" t="n">
        <f aca="false">47.01/95*Notas!$B$3</f>
        <v>47.01</v>
      </c>
      <c r="H176" s="17" t="n">
        <f aca="false">29.79/95*Notas!$B$3</f>
        <v>29.79</v>
      </c>
      <c r="I176" s="17" t="n">
        <f aca="false">130.49/95*Notas!$B$3</f>
        <v>130.49</v>
      </c>
      <c r="J176" s="17" t="n">
        <f aca="false">182.95/95*Notas!$B$3</f>
        <v>182.95</v>
      </c>
    </row>
    <row r="177" customFormat="false" ht="15" hidden="false" customHeight="false" outlineLevel="0" collapsed="false">
      <c r="A177" s="13" t="s">
        <v>228</v>
      </c>
      <c r="B177" s="13" t="n">
        <v>77</v>
      </c>
      <c r="C177" s="17" t="n">
        <f aca="false">B177/100*Notas!$B$3</f>
        <v>73.15</v>
      </c>
      <c r="D177" s="17" t="n">
        <f aca="false">46.85/95*Notas!$B$3</f>
        <v>46.85</v>
      </c>
      <c r="E177" s="17" t="n">
        <f aca="false">37.26/95*Notas!$B$3</f>
        <v>37.26</v>
      </c>
      <c r="F177" s="13" t="n">
        <v>2</v>
      </c>
      <c r="G177" s="17" t="n">
        <f aca="false">46.85/95*Notas!$B$3</f>
        <v>46.85</v>
      </c>
      <c r="H177" s="17" t="n">
        <f aca="false">37.26/95*Notas!$B$3</f>
        <v>37.26</v>
      </c>
      <c r="I177" s="17" t="n">
        <f aca="false">153.27/95*Notas!$B$3</f>
        <v>153.27</v>
      </c>
      <c r="J177" s="17" t="n">
        <f aca="false">179.83/95*Notas!$B$3</f>
        <v>179.83</v>
      </c>
    </row>
    <row r="178" customFormat="false" ht="15" hidden="false" customHeight="false" outlineLevel="0" collapsed="false">
      <c r="A178" s="13" t="s">
        <v>228</v>
      </c>
      <c r="B178" s="13" t="n">
        <v>78</v>
      </c>
      <c r="C178" s="17" t="n">
        <f aca="false">B178/100*Notas!$B$3</f>
        <v>74.1</v>
      </c>
      <c r="D178" s="17" t="n">
        <f aca="false">46.68/95*Notas!$B$3</f>
        <v>46.68</v>
      </c>
      <c r="E178" s="17" t="n">
        <f aca="false">37.58/95*Notas!$B$3</f>
        <v>37.58</v>
      </c>
      <c r="F178" s="13" t="n">
        <v>2</v>
      </c>
      <c r="G178" s="17" t="n">
        <f aca="false">46.68/95*Notas!$B$3</f>
        <v>46.68</v>
      </c>
      <c r="H178" s="17" t="n">
        <f aca="false">37.58/95*Notas!$B$3</f>
        <v>37.58</v>
      </c>
      <c r="I178" s="17" t="n">
        <f aca="false">150/95*Notas!$B$3</f>
        <v>150</v>
      </c>
      <c r="J178" s="17" t="n">
        <f aca="false">176.25/95*Notas!$B$3</f>
        <v>176.25</v>
      </c>
    </row>
    <row r="179" customFormat="false" ht="15" hidden="false" customHeight="false" outlineLevel="0" collapsed="false">
      <c r="A179" s="13" t="s">
        <v>228</v>
      </c>
      <c r="B179" s="13" t="n">
        <v>79</v>
      </c>
      <c r="C179" s="17" t="n">
        <f aca="false">B179/100*Notas!$B$3</f>
        <v>75.05</v>
      </c>
      <c r="D179" s="17" t="n">
        <f aca="false">46.48/95*Notas!$B$3</f>
        <v>46.48</v>
      </c>
      <c r="E179" s="17" t="n">
        <f aca="false">37.52/95*Notas!$B$3</f>
        <v>37.52</v>
      </c>
      <c r="F179" s="13" t="n">
        <v>2</v>
      </c>
      <c r="G179" s="17" t="n">
        <f aca="false">46.48/95*Notas!$B$3</f>
        <v>46.48</v>
      </c>
      <c r="H179" s="17" t="n">
        <f aca="false">37.52/95*Notas!$B$3</f>
        <v>37.52</v>
      </c>
      <c r="I179" s="17" t="n">
        <f aca="false">147.59/95*Notas!$B$3</f>
        <v>147.59</v>
      </c>
      <c r="J179" s="17" t="n">
        <f aca="false">173.83/95*Notas!$B$3</f>
        <v>173.83</v>
      </c>
    </row>
    <row r="180" customFormat="false" ht="15" hidden="false" customHeight="false" outlineLevel="0" collapsed="false">
      <c r="A180" s="13" t="s">
        <v>228</v>
      </c>
      <c r="B180" s="13" t="n">
        <v>80</v>
      </c>
      <c r="C180" s="17" t="n">
        <f aca="false">B180/100*Notas!$B$3</f>
        <v>76</v>
      </c>
      <c r="D180" s="17" t="n">
        <f aca="false">46.27/95*Notas!$B$3</f>
        <v>46.27</v>
      </c>
      <c r="E180" s="17" t="n">
        <f aca="false">37.2/95*Notas!$B$3</f>
        <v>37.2</v>
      </c>
      <c r="F180" s="13" t="n">
        <v>2</v>
      </c>
      <c r="G180" s="17" t="n">
        <f aca="false">46.27/95*Notas!$B$3</f>
        <v>46.27</v>
      </c>
      <c r="H180" s="17" t="n">
        <f aca="false">37.2/95*Notas!$B$3</f>
        <v>37.2</v>
      </c>
      <c r="I180" s="17" t="n">
        <f aca="false">144.51/95*Notas!$B$3</f>
        <v>144.51</v>
      </c>
      <c r="J180" s="17" t="n">
        <f aca="false">170.89/95*Notas!$B$3</f>
        <v>170.89</v>
      </c>
    </row>
    <row r="181" customFormat="false" ht="15" hidden="false" customHeight="false" outlineLevel="0" collapsed="false">
      <c r="A181" s="13" t="s">
        <v>228</v>
      </c>
      <c r="B181" s="13" t="n">
        <v>81</v>
      </c>
      <c r="C181" s="17" t="n">
        <f aca="false">B181/100*Notas!$B$3</f>
        <v>76.95</v>
      </c>
      <c r="D181" s="17" t="n">
        <f aca="false">46.03/95*Notas!$B$3</f>
        <v>46.03</v>
      </c>
      <c r="E181" s="17" t="n">
        <f aca="false">36.83/95*Notas!$B$3</f>
        <v>36.83</v>
      </c>
      <c r="F181" s="13" t="n">
        <v>1</v>
      </c>
      <c r="G181" s="17" t="n">
        <f aca="false">46.03/95*Notas!$B$3</f>
        <v>46.03</v>
      </c>
      <c r="H181" s="17" t="n">
        <f aca="false">36.83/95*Notas!$B$3</f>
        <v>36.83</v>
      </c>
      <c r="I181" s="17" t="n">
        <f aca="false">167.02/95*Notas!$B$3</f>
        <v>167.02</v>
      </c>
      <c r="J181" s="17" t="n">
        <f aca="false">167.02/95*Notas!$B$3</f>
        <v>167.02</v>
      </c>
    </row>
    <row r="182" customFormat="false" ht="15" hidden="false" customHeight="false" outlineLevel="0" collapsed="false">
      <c r="A182" s="13" t="s">
        <v>228</v>
      </c>
      <c r="B182" s="13" t="n">
        <v>82</v>
      </c>
      <c r="C182" s="17" t="n">
        <f aca="false">B182/100*Notas!$B$3</f>
        <v>77.9</v>
      </c>
      <c r="D182" s="17" t="n">
        <f aca="false">46.01/95*Notas!$B$3</f>
        <v>46.01</v>
      </c>
      <c r="E182" s="17" t="n">
        <f aca="false">36.41/95*Notas!$B$3</f>
        <v>36.41</v>
      </c>
      <c r="F182" s="13" t="n">
        <v>1</v>
      </c>
      <c r="G182" s="17" t="n">
        <f aca="false">46.01/95*Notas!$B$3</f>
        <v>46.01</v>
      </c>
      <c r="H182" s="17" t="n">
        <f aca="false">36.41/95*Notas!$B$3</f>
        <v>36.41</v>
      </c>
      <c r="I182" s="17" t="n">
        <f aca="false">150.17/95*Notas!$B$3</f>
        <v>150.17</v>
      </c>
      <c r="J182" s="17" t="n">
        <f aca="false">150.17/95*Notas!$B$3</f>
        <v>150.17</v>
      </c>
    </row>
    <row r="183" customFormat="false" ht="15" hidden="false" customHeight="false" outlineLevel="0" collapsed="false">
      <c r="A183" s="13" t="s">
        <v>228</v>
      </c>
      <c r="B183" s="13" t="n">
        <v>83</v>
      </c>
      <c r="C183" s="17" t="n">
        <f aca="false">B183/100*Notas!$B$3</f>
        <v>78.85</v>
      </c>
      <c r="D183" s="17" t="n">
        <f aca="false">46.59/95*Notas!$B$3</f>
        <v>46.59</v>
      </c>
      <c r="E183" s="17" t="n">
        <f aca="false">35.91/95*Notas!$B$3</f>
        <v>35.91</v>
      </c>
      <c r="F183" s="13" t="n">
        <v>1</v>
      </c>
      <c r="G183" s="17" t="n">
        <f aca="false">46.59/95*Notas!$B$3</f>
        <v>46.59</v>
      </c>
      <c r="H183" s="17" t="n">
        <f aca="false">35.91/95*Notas!$B$3</f>
        <v>35.91</v>
      </c>
      <c r="I183" s="17" t="n">
        <f aca="false">147.67/95*Notas!$B$3</f>
        <v>147.67</v>
      </c>
      <c r="J183" s="17" t="n">
        <f aca="false">147.67/95*Notas!$B$3</f>
        <v>147.67</v>
      </c>
    </row>
    <row r="184" customFormat="false" ht="15" hidden="false" customHeight="false" outlineLevel="0" collapsed="false">
      <c r="A184" s="13" t="s">
        <v>228</v>
      </c>
      <c r="B184" s="13" t="n">
        <v>84</v>
      </c>
      <c r="C184" s="17" t="n">
        <f aca="false">B184/100*Notas!$B$3</f>
        <v>79.8</v>
      </c>
      <c r="D184" s="17" t="n">
        <f aca="false">46.12/95*Notas!$B$3</f>
        <v>46.12</v>
      </c>
      <c r="E184" s="17" t="n">
        <f aca="false">35.39/95*Notas!$B$3</f>
        <v>35.39</v>
      </c>
      <c r="F184" s="13" t="n">
        <v>1</v>
      </c>
      <c r="G184" s="17" t="n">
        <f aca="false">46.12/95*Notas!$B$3</f>
        <v>46.12</v>
      </c>
      <c r="H184" s="17" t="n">
        <f aca="false">35.39/95*Notas!$B$3</f>
        <v>35.39</v>
      </c>
      <c r="I184" s="17" t="n">
        <f aca="false">146.45/95*Notas!$B$3</f>
        <v>146.45</v>
      </c>
      <c r="J184" s="17" t="n">
        <f aca="false">146.45/95*Notas!$B$3</f>
        <v>146.45</v>
      </c>
    </row>
    <row r="185" customFormat="false" ht="15" hidden="false" customHeight="false" outlineLevel="0" collapsed="false">
      <c r="A185" s="13" t="s">
        <v>228</v>
      </c>
      <c r="B185" s="13" t="n">
        <v>85</v>
      </c>
      <c r="C185" s="17" t="n">
        <f aca="false">B185/100*Notas!$B$3</f>
        <v>80.75</v>
      </c>
      <c r="D185" s="17" t="n">
        <f aca="false">45.54/95*Notas!$B$3</f>
        <v>45.54</v>
      </c>
      <c r="E185" s="17" t="n">
        <f aca="false">34.86/95*Notas!$B$3</f>
        <v>34.86</v>
      </c>
      <c r="F185" s="13" t="n">
        <v>1</v>
      </c>
      <c r="G185" s="17" t="n">
        <f aca="false">45.54/95*Notas!$B$3</f>
        <v>45.54</v>
      </c>
      <c r="H185" s="17" t="n">
        <f aca="false">34.86/95*Notas!$B$3</f>
        <v>34.86</v>
      </c>
      <c r="I185" s="17" t="n">
        <f aca="false">147.45/95*Notas!$B$3</f>
        <v>147.45</v>
      </c>
      <c r="J185" s="17" t="n">
        <f aca="false">147.45/95*Notas!$B$3</f>
        <v>147.45</v>
      </c>
    </row>
    <row r="186" customFormat="false" ht="15" hidden="false" customHeight="false" outlineLevel="0" collapsed="false">
      <c r="A186" s="13" t="s">
        <v>228</v>
      </c>
      <c r="B186" s="13" t="n">
        <v>86</v>
      </c>
      <c r="C186" s="17" t="n">
        <f aca="false">B186/100*Notas!$B$3</f>
        <v>81.7</v>
      </c>
      <c r="D186" s="17" t="n">
        <f aca="false">44.69/95*Notas!$B$3</f>
        <v>44.69</v>
      </c>
      <c r="E186" s="17" t="n">
        <f aca="false">34.09/95*Notas!$B$3</f>
        <v>34.09</v>
      </c>
      <c r="F186" s="13" t="n">
        <v>1</v>
      </c>
      <c r="G186" s="17" t="n">
        <f aca="false">44.69/95*Notas!$B$3</f>
        <v>44.69</v>
      </c>
      <c r="H186" s="17" t="n">
        <f aca="false">34.09/95*Notas!$B$3</f>
        <v>34.09</v>
      </c>
      <c r="I186" s="17" t="n">
        <f aca="false">147.54/95*Notas!$B$3</f>
        <v>147.54</v>
      </c>
      <c r="J186" s="17" t="n">
        <f aca="false">147.54/95*Notas!$B$3</f>
        <v>147.54</v>
      </c>
    </row>
    <row r="187" customFormat="false" ht="15" hidden="false" customHeight="false" outlineLevel="0" collapsed="false">
      <c r="A187" s="13" t="s">
        <v>228</v>
      </c>
      <c r="B187" s="13" t="n">
        <v>87</v>
      </c>
      <c r="C187" s="17" t="n">
        <f aca="false">B187/100*Notas!$B$3</f>
        <v>82.65</v>
      </c>
      <c r="D187" s="17" t="n">
        <f aca="false">43.31/95*Notas!$B$3</f>
        <v>43.31</v>
      </c>
      <c r="E187" s="17" t="n">
        <f aca="false">32.97/95*Notas!$B$3</f>
        <v>32.97</v>
      </c>
      <c r="F187" s="13" t="n">
        <v>1</v>
      </c>
      <c r="G187" s="17" t="n">
        <f aca="false">43.31/95*Notas!$B$3</f>
        <v>43.31</v>
      </c>
      <c r="H187" s="17" t="n">
        <f aca="false">32.97/95*Notas!$B$3</f>
        <v>32.97</v>
      </c>
      <c r="I187" s="17" t="n">
        <f aca="false">146.87/95*Notas!$B$3</f>
        <v>146.87</v>
      </c>
      <c r="J187" s="17" t="n">
        <f aca="false">146.87/95*Notas!$B$3</f>
        <v>146.87</v>
      </c>
    </row>
    <row r="188" customFormat="false" ht="15" hidden="false" customHeight="false" outlineLevel="0" collapsed="false">
      <c r="A188" s="13" t="s">
        <v>228</v>
      </c>
      <c r="B188" s="13" t="n">
        <v>88</v>
      </c>
      <c r="C188" s="17" t="n">
        <f aca="false">B188/100*Notas!$B$3</f>
        <v>83.6</v>
      </c>
      <c r="D188" s="17" t="n">
        <f aca="false">42.7/95*Notas!$B$3</f>
        <v>42.7</v>
      </c>
      <c r="E188" s="17" t="n">
        <f aca="false">31.77/95*Notas!$B$3</f>
        <v>31.77</v>
      </c>
      <c r="F188" s="13" t="n">
        <v>1</v>
      </c>
      <c r="G188" s="17" t="n">
        <f aca="false">42.7/95*Notas!$B$3</f>
        <v>42.7</v>
      </c>
      <c r="H188" s="17" t="n">
        <f aca="false">31.77/95*Notas!$B$3</f>
        <v>31.77</v>
      </c>
      <c r="I188" s="17" t="n">
        <f aca="false">146.7/95*Notas!$B$3</f>
        <v>146.7</v>
      </c>
      <c r="J188" s="17" t="n">
        <f aca="false">146.7/95*Notas!$B$3</f>
        <v>146.7</v>
      </c>
    </row>
    <row r="189" customFormat="false" ht="15" hidden="false" customHeight="false" outlineLevel="0" collapsed="false">
      <c r="A189" s="13" t="s">
        <v>228</v>
      </c>
      <c r="B189" s="13" t="n">
        <v>89</v>
      </c>
      <c r="C189" s="17" t="n">
        <f aca="false">B189/100*Notas!$B$3</f>
        <v>84.55</v>
      </c>
      <c r="D189" s="17" t="n">
        <f aca="false">42.48/95*Notas!$B$3</f>
        <v>42.48</v>
      </c>
      <c r="E189" s="17" t="n">
        <f aca="false">30.9/95*Notas!$B$3</f>
        <v>30.9</v>
      </c>
      <c r="F189" s="13" t="n">
        <v>2</v>
      </c>
      <c r="G189" s="17" t="n">
        <f aca="false">42.48/95*Notas!$B$3</f>
        <v>42.48</v>
      </c>
      <c r="H189" s="17" t="n">
        <f aca="false">30.9/95*Notas!$B$3</f>
        <v>30.9</v>
      </c>
      <c r="I189" s="17" t="n">
        <f aca="false">149.58/95*Notas!$B$3</f>
        <v>149.58</v>
      </c>
      <c r="J189" s="17" t="n">
        <f aca="false">161.86/95*Notas!$B$3</f>
        <v>161.86</v>
      </c>
    </row>
    <row r="190" customFormat="false" ht="15" hidden="false" customHeight="false" outlineLevel="0" collapsed="false">
      <c r="A190" s="13" t="s">
        <v>228</v>
      </c>
      <c r="B190" s="13" t="n">
        <v>90</v>
      </c>
      <c r="C190" s="17" t="n">
        <f aca="false">B190/100*Notas!$B$3</f>
        <v>85.5</v>
      </c>
      <c r="D190" s="17" t="n">
        <f aca="false">41.43/95*Notas!$B$3</f>
        <v>41.43</v>
      </c>
      <c r="E190" s="17" t="n">
        <f aca="false">30.01/95*Notas!$B$3</f>
        <v>30.01</v>
      </c>
      <c r="F190" s="13" t="n">
        <v>2</v>
      </c>
      <c r="G190" s="17" t="n">
        <f aca="false">41.43/95*Notas!$B$3</f>
        <v>41.43</v>
      </c>
      <c r="H190" s="17" t="n">
        <f aca="false">30.01/95*Notas!$B$3</f>
        <v>30.01</v>
      </c>
      <c r="I190" s="17" t="n">
        <f aca="false">152.12/95*Notas!$B$3</f>
        <v>152.12</v>
      </c>
      <c r="J190" s="17" t="n">
        <f aca="false">170.96/95*Notas!$B$3</f>
        <v>170.96</v>
      </c>
    </row>
    <row r="191" customFormat="false" ht="15" hidden="false" customHeight="false" outlineLevel="0" collapsed="false">
      <c r="A191" s="13" t="s">
        <v>228</v>
      </c>
      <c r="B191" s="13" t="n">
        <v>91</v>
      </c>
      <c r="C191" s="17" t="n">
        <f aca="false">B191/100*Notas!$B$3</f>
        <v>86.45</v>
      </c>
      <c r="D191" s="17" t="n">
        <f aca="false">39.71/95*Notas!$B$3</f>
        <v>39.71</v>
      </c>
      <c r="E191" s="17" t="n">
        <f aca="false">29.12/95*Notas!$B$3</f>
        <v>29.12</v>
      </c>
      <c r="F191" s="13" t="n">
        <v>2</v>
      </c>
      <c r="G191" s="17" t="n">
        <f aca="false">39.71/95*Notas!$B$3</f>
        <v>39.71</v>
      </c>
      <c r="H191" s="17" t="n">
        <f aca="false">29.12/95*Notas!$B$3</f>
        <v>29.12</v>
      </c>
      <c r="I191" s="17" t="n">
        <f aca="false">158.42/95*Notas!$B$3</f>
        <v>158.42</v>
      </c>
      <c r="J191" s="17" t="n">
        <f aca="false">170.51/95*Notas!$B$3</f>
        <v>170.51</v>
      </c>
    </row>
    <row r="192" customFormat="false" ht="15" hidden="false" customHeight="false" outlineLevel="0" collapsed="false">
      <c r="A192" s="13" t="s">
        <v>228</v>
      </c>
      <c r="B192" s="13" t="n">
        <v>92</v>
      </c>
      <c r="C192" s="17" t="n">
        <f aca="false">B192/100*Notas!$B$3</f>
        <v>87.4</v>
      </c>
      <c r="D192" s="17" t="n">
        <f aca="false">38.01/95*Notas!$B$3</f>
        <v>38.01</v>
      </c>
      <c r="E192" s="17" t="n">
        <f aca="false">28.5/95*Notas!$B$3</f>
        <v>28.5</v>
      </c>
      <c r="F192" s="13" t="n">
        <v>1</v>
      </c>
      <c r="G192" s="17" t="n">
        <f aca="false">38.01/95*Notas!$B$3</f>
        <v>38.01</v>
      </c>
      <c r="H192" s="17" t="n">
        <f aca="false">28.5/95*Notas!$B$3</f>
        <v>28.5</v>
      </c>
      <c r="I192" s="17" t="n">
        <f aca="false">152.13/95*Notas!$B$3</f>
        <v>152.13</v>
      </c>
      <c r="J192" s="17" t="n">
        <f aca="false">152.13/95*Notas!$B$3</f>
        <v>152.13</v>
      </c>
    </row>
    <row r="193" customFormat="false" ht="15" hidden="false" customHeight="false" outlineLevel="0" collapsed="false">
      <c r="A193" s="13" t="s">
        <v>228</v>
      </c>
      <c r="B193" s="13" t="n">
        <v>93</v>
      </c>
      <c r="C193" s="17" t="n">
        <f aca="false">B193/100*Notas!$B$3</f>
        <v>88.35</v>
      </c>
      <c r="D193" s="17" t="n">
        <f aca="false">36.28/95*Notas!$B$3</f>
        <v>36.28</v>
      </c>
      <c r="E193" s="17" t="n">
        <f aca="false">27.19/95*Notas!$B$3</f>
        <v>27.19</v>
      </c>
      <c r="F193" s="13" t="n">
        <v>2</v>
      </c>
      <c r="G193" s="17" t="n">
        <f aca="false">36.28/95*Notas!$B$3</f>
        <v>36.28</v>
      </c>
      <c r="H193" s="17" t="n">
        <f aca="false">27.19/95*Notas!$B$3</f>
        <v>27.19</v>
      </c>
      <c r="I193" s="17" t="n">
        <f aca="false">130.09/95*Notas!$B$3</f>
        <v>130.09</v>
      </c>
      <c r="J193" s="17" t="n">
        <f aca="false">138.58/95*Notas!$B$3</f>
        <v>138.58</v>
      </c>
    </row>
    <row r="194" customFormat="false" ht="15" hidden="false" customHeight="false" outlineLevel="0" collapsed="false">
      <c r="A194" s="13" t="s">
        <v>228</v>
      </c>
      <c r="B194" s="13" t="n">
        <v>94</v>
      </c>
      <c r="C194" s="17" t="n">
        <f aca="false">B194/100*Notas!$B$3</f>
        <v>89.3</v>
      </c>
      <c r="D194" s="17" t="n">
        <f aca="false">34.58/95*Notas!$B$3</f>
        <v>34.58</v>
      </c>
      <c r="E194" s="17" t="n">
        <f aca="false">25.31/95*Notas!$B$3</f>
        <v>25.31</v>
      </c>
      <c r="F194" s="13" t="n">
        <v>1</v>
      </c>
      <c r="G194" s="17" t="n">
        <f aca="false">34.58/95*Notas!$B$3</f>
        <v>34.58</v>
      </c>
      <c r="H194" s="17" t="n">
        <f aca="false">25.31/95*Notas!$B$3</f>
        <v>25.31</v>
      </c>
      <c r="I194" s="17" t="n">
        <f aca="false">118.34/95*Notas!$B$3</f>
        <v>118.34</v>
      </c>
      <c r="J194" s="17" t="n">
        <f aca="false">118.34/95*Notas!$B$3</f>
        <v>118.34</v>
      </c>
    </row>
    <row r="195" customFormat="false" ht="15" hidden="false" customHeight="false" outlineLevel="0" collapsed="false">
      <c r="A195" s="13" t="s">
        <v>228</v>
      </c>
      <c r="B195" s="13" t="n">
        <v>95</v>
      </c>
      <c r="C195" s="17" t="n">
        <f aca="false">B195/100*Notas!$B$3</f>
        <v>90.25</v>
      </c>
      <c r="D195" s="17" t="n">
        <f aca="false">32.86/95*Notas!$B$3</f>
        <v>32.86</v>
      </c>
      <c r="E195" s="17" t="n">
        <f aca="false">24.78/95*Notas!$B$3</f>
        <v>24.78</v>
      </c>
      <c r="F195" s="13" t="n">
        <v>1</v>
      </c>
      <c r="G195" s="17" t="n">
        <f aca="false">32.86/95*Notas!$B$3</f>
        <v>32.86</v>
      </c>
      <c r="H195" s="17" t="n">
        <f aca="false">24.78/95*Notas!$B$3</f>
        <v>24.78</v>
      </c>
      <c r="I195" s="17" t="n">
        <f aca="false">109/95*Notas!$B$3</f>
        <v>109</v>
      </c>
      <c r="J195" s="17" t="n">
        <f aca="false">109/95*Notas!$B$3</f>
        <v>109</v>
      </c>
    </row>
    <row r="196" customFormat="false" ht="15" hidden="false" customHeight="false" outlineLevel="0" collapsed="false">
      <c r="A196" s="13" t="s">
        <v>228</v>
      </c>
      <c r="B196" s="13" t="n">
        <v>96</v>
      </c>
      <c r="C196" s="17" t="n">
        <f aca="false">B196/100*Notas!$B$3</f>
        <v>91.2</v>
      </c>
      <c r="D196" s="17" t="n">
        <f aca="false">31.16/95*Notas!$B$3</f>
        <v>31.16</v>
      </c>
      <c r="E196" s="17" t="n">
        <f aca="false">23.88/95*Notas!$B$3</f>
        <v>23.88</v>
      </c>
      <c r="F196" s="13" t="n">
        <v>1</v>
      </c>
      <c r="G196" s="17" t="n">
        <f aca="false">31.16/95*Notas!$B$3</f>
        <v>31.16</v>
      </c>
      <c r="H196" s="17" t="n">
        <f aca="false">23.88/95*Notas!$B$3</f>
        <v>23.88</v>
      </c>
      <c r="I196" s="17" t="n">
        <f aca="false">105.23/95*Notas!$B$3</f>
        <v>105.23</v>
      </c>
      <c r="J196" s="17" t="n">
        <f aca="false">105.23/95*Notas!$B$3</f>
        <v>105.23</v>
      </c>
    </row>
    <row r="197" customFormat="false" ht="15" hidden="false" customHeight="false" outlineLevel="0" collapsed="false">
      <c r="A197" s="13" t="s">
        <v>228</v>
      </c>
      <c r="B197" s="13" t="n">
        <v>97</v>
      </c>
      <c r="C197" s="17" t="n">
        <f aca="false">B197/100*Notas!$B$3</f>
        <v>92.15</v>
      </c>
      <c r="D197" s="17" t="n">
        <f aca="false">29.36/95*Notas!$B$3</f>
        <v>29.36</v>
      </c>
      <c r="E197" s="17" t="n">
        <f aca="false">21.88/95*Notas!$B$3</f>
        <v>21.88</v>
      </c>
      <c r="F197" s="13" t="n">
        <v>1</v>
      </c>
      <c r="G197" s="17" t="n">
        <f aca="false">29.36/95*Notas!$B$3</f>
        <v>29.36</v>
      </c>
      <c r="H197" s="17" t="n">
        <f aca="false">21.88/95*Notas!$B$3</f>
        <v>21.88</v>
      </c>
      <c r="I197" s="17" t="n">
        <f aca="false">99.61/95*Notas!$B$3</f>
        <v>99.61</v>
      </c>
      <c r="J197" s="17" t="n">
        <f aca="false">99.61/95*Notas!$B$3</f>
        <v>99.61</v>
      </c>
    </row>
    <row r="198" customFormat="false" ht="15" hidden="false" customHeight="false" outlineLevel="0" collapsed="false">
      <c r="A198" s="13" t="s">
        <v>228</v>
      </c>
      <c r="B198" s="13" t="n">
        <v>98</v>
      </c>
      <c r="C198" s="17" t="n">
        <f aca="false">B198/100*Notas!$B$3</f>
        <v>93.1</v>
      </c>
      <c r="D198" s="17" t="n">
        <f aca="false">17.24/95*Notas!$B$3</f>
        <v>17.24</v>
      </c>
      <c r="E198" s="17" t="n">
        <f aca="false">19.38/95*Notas!$B$3</f>
        <v>19.38</v>
      </c>
      <c r="F198" s="13" t="n">
        <v>1</v>
      </c>
      <c r="G198" s="17" t="n">
        <f aca="false">17.24/95*Notas!$B$3</f>
        <v>17.24</v>
      </c>
      <c r="H198" s="17" t="n">
        <f aca="false">19.38/95*Notas!$B$3</f>
        <v>19.38</v>
      </c>
      <c r="I198" s="17" t="n">
        <f aca="false">64.41/95*Notas!$B$3</f>
        <v>64.41</v>
      </c>
      <c r="J198" s="17" t="n">
        <f aca="false">64.41/95*Notas!$B$3</f>
        <v>64.41</v>
      </c>
    </row>
    <row r="199" customFormat="false" ht="15" hidden="false" customHeight="false" outlineLevel="0" collapsed="false">
      <c r="A199" s="13" t="s">
        <v>228</v>
      </c>
      <c r="B199" s="13" t="n">
        <v>99</v>
      </c>
      <c r="C199" s="17" t="n">
        <f aca="false">B199/100*Notas!$B$3</f>
        <v>94.05</v>
      </c>
      <c r="D199" s="17" t="n">
        <f aca="false">14.01/95*Notas!$B$3</f>
        <v>14.01</v>
      </c>
      <c r="E199" s="17" t="n">
        <f aca="false">16.77/95*Notas!$B$3</f>
        <v>16.77</v>
      </c>
      <c r="F199" s="13" t="n">
        <v>1</v>
      </c>
      <c r="G199" s="17" t="n">
        <f aca="false">14.01/95*Notas!$B$3</f>
        <v>14.01</v>
      </c>
      <c r="H199" s="17" t="n">
        <f aca="false">16.77/95*Notas!$B$3</f>
        <v>16.77</v>
      </c>
      <c r="I199" s="17" t="n">
        <f aca="false">64.97/95*Notas!$B$3</f>
        <v>64.97</v>
      </c>
      <c r="J199" s="17" t="n">
        <f aca="false">64.97/95*Notas!$B$3</f>
        <v>64.97</v>
      </c>
    </row>
    <row r="200" customFormat="false" ht="15" hidden="false" customHeight="false" outlineLevel="0" collapsed="false">
      <c r="A200" s="13" t="s">
        <v>231</v>
      </c>
      <c r="B200" s="13" t="n">
        <v>1</v>
      </c>
      <c r="C200" s="17" t="n">
        <f aca="false">B200/100*Notas!$B$3</f>
        <v>0.95</v>
      </c>
      <c r="D200" s="17" t="n">
        <f aca="false">22.13/95*Notas!$B$3</f>
        <v>22.13</v>
      </c>
      <c r="E200" s="17" t="n">
        <f aca="false">19.41/95*Notas!$B$3</f>
        <v>19.41</v>
      </c>
      <c r="F200" s="13" t="n">
        <v>4</v>
      </c>
      <c r="G200" s="17" t="n">
        <f aca="false">8.81/95*Notas!$B$3</f>
        <v>8.81</v>
      </c>
      <c r="H200" s="17" t="n">
        <f aca="false">7.08/95*Notas!$B$3</f>
        <v>7.08</v>
      </c>
      <c r="I200" s="17" t="n">
        <f aca="false">29.06/95*Notas!$B$3</f>
        <v>29.06</v>
      </c>
      <c r="J200" s="17" t="n">
        <f aca="false">134.83/95*Notas!$B$3</f>
        <v>134.83</v>
      </c>
    </row>
    <row r="201" customFormat="false" ht="15" hidden="false" customHeight="false" outlineLevel="0" collapsed="false">
      <c r="A201" s="13" t="s">
        <v>231</v>
      </c>
      <c r="B201" s="13" t="n">
        <v>2</v>
      </c>
      <c r="C201" s="17" t="n">
        <f aca="false">B201/100*Notas!$B$3</f>
        <v>1.9</v>
      </c>
      <c r="D201" s="17" t="n">
        <f aca="false">22.09/95*Notas!$B$3</f>
        <v>22.09</v>
      </c>
      <c r="E201" s="17" t="n">
        <f aca="false">19.41/95*Notas!$B$3</f>
        <v>19.41</v>
      </c>
      <c r="F201" s="13" t="n">
        <v>2</v>
      </c>
      <c r="G201" s="17" t="n">
        <f aca="false">9.64/95*Notas!$B$3</f>
        <v>9.64</v>
      </c>
      <c r="H201" s="17" t="n">
        <f aca="false">19.39/95*Notas!$B$3</f>
        <v>19.39</v>
      </c>
      <c r="I201" s="17" t="n">
        <f aca="false">53.44/95*Notas!$B$3</f>
        <v>53.44</v>
      </c>
      <c r="J201" s="17" t="n">
        <f aca="false">107.94/95*Notas!$B$3</f>
        <v>107.94</v>
      </c>
    </row>
    <row r="202" customFormat="false" ht="15" hidden="false" customHeight="false" outlineLevel="0" collapsed="false">
      <c r="A202" s="13" t="s">
        <v>231</v>
      </c>
      <c r="B202" s="13" t="n">
        <v>3</v>
      </c>
      <c r="C202" s="17" t="n">
        <f aca="false">B202/100*Notas!$B$3</f>
        <v>2.85</v>
      </c>
      <c r="D202" s="17" t="n">
        <f aca="false">21.73/95*Notas!$B$3</f>
        <v>21.73</v>
      </c>
      <c r="E202" s="17" t="n">
        <f aca="false">19.12/95*Notas!$B$3</f>
        <v>19.12</v>
      </c>
      <c r="F202" s="13" t="n">
        <v>2</v>
      </c>
      <c r="G202" s="17" t="n">
        <f aca="false">9.21/95*Notas!$B$3</f>
        <v>9.21</v>
      </c>
      <c r="H202" s="17" t="n">
        <f aca="false">19.1/95*Notas!$B$3</f>
        <v>19.1</v>
      </c>
      <c r="I202" s="17" t="n">
        <f aca="false">53.17/95*Notas!$B$3</f>
        <v>53.17</v>
      </c>
      <c r="J202" s="17" t="n">
        <f aca="false">105.31/95*Notas!$B$3</f>
        <v>105.31</v>
      </c>
    </row>
    <row r="203" customFormat="false" ht="15" hidden="false" customHeight="false" outlineLevel="0" collapsed="false">
      <c r="A203" s="13" t="s">
        <v>231</v>
      </c>
      <c r="B203" s="13" t="n">
        <v>4</v>
      </c>
      <c r="C203" s="17" t="n">
        <f aca="false">B203/100*Notas!$B$3</f>
        <v>3.8</v>
      </c>
      <c r="D203" s="17" t="n">
        <f aca="false">21.67/95*Notas!$B$3</f>
        <v>21.67</v>
      </c>
      <c r="E203" s="17" t="n">
        <f aca="false">19.12/95*Notas!$B$3</f>
        <v>19.12</v>
      </c>
      <c r="F203" s="13" t="n">
        <v>2</v>
      </c>
      <c r="G203" s="17" t="n">
        <f aca="false">9.11/95*Notas!$B$3</f>
        <v>9.11</v>
      </c>
      <c r="H203" s="17" t="n">
        <f aca="false">19.09/95*Notas!$B$3</f>
        <v>19.09</v>
      </c>
      <c r="I203" s="17" t="n">
        <f aca="false">52.81/95*Notas!$B$3</f>
        <v>52.81</v>
      </c>
      <c r="J203" s="17" t="n">
        <f aca="false">104.54/95*Notas!$B$3</f>
        <v>104.54</v>
      </c>
    </row>
    <row r="204" customFormat="false" ht="15" hidden="false" customHeight="false" outlineLevel="0" collapsed="false">
      <c r="A204" s="13" t="s">
        <v>231</v>
      </c>
      <c r="B204" s="13" t="n">
        <v>5</v>
      </c>
      <c r="C204" s="17" t="n">
        <f aca="false">B204/100*Notas!$B$3</f>
        <v>4.75</v>
      </c>
      <c r="D204" s="17" t="n">
        <f aca="false">21.55/95*Notas!$B$3</f>
        <v>21.55</v>
      </c>
      <c r="E204" s="17" t="n">
        <f aca="false">19.06/95*Notas!$B$3</f>
        <v>19.06</v>
      </c>
      <c r="F204" s="13" t="n">
        <v>2</v>
      </c>
      <c r="G204" s="17" t="n">
        <f aca="false">9.14/95*Notas!$B$3</f>
        <v>9.14</v>
      </c>
      <c r="H204" s="17" t="n">
        <f aca="false">19.01/95*Notas!$B$3</f>
        <v>19.01</v>
      </c>
      <c r="I204" s="17" t="n">
        <f aca="false">51.26/95*Notas!$B$3</f>
        <v>51.26</v>
      </c>
      <c r="J204" s="17" t="n">
        <f aca="false">103.61/95*Notas!$B$3</f>
        <v>103.61</v>
      </c>
    </row>
    <row r="205" customFormat="false" ht="15" hidden="false" customHeight="false" outlineLevel="0" collapsed="false">
      <c r="A205" s="13" t="s">
        <v>231</v>
      </c>
      <c r="B205" s="13" t="n">
        <v>6</v>
      </c>
      <c r="C205" s="17" t="n">
        <f aca="false">B205/100*Notas!$B$3</f>
        <v>5.7</v>
      </c>
      <c r="D205" s="17" t="n">
        <f aca="false">21.39/95*Notas!$B$3</f>
        <v>21.39</v>
      </c>
      <c r="E205" s="17" t="n">
        <f aca="false">18.99/95*Notas!$B$3</f>
        <v>18.99</v>
      </c>
      <c r="F205" s="13" t="n">
        <v>2</v>
      </c>
      <c r="G205" s="17" t="n">
        <f aca="false">8.89/95*Notas!$B$3</f>
        <v>8.89</v>
      </c>
      <c r="H205" s="17" t="n">
        <f aca="false">18.98/95*Notas!$B$3</f>
        <v>18.98</v>
      </c>
      <c r="I205" s="17" t="n">
        <f aca="false">51.89/95*Notas!$B$3</f>
        <v>51.89</v>
      </c>
      <c r="J205" s="17" t="n">
        <f aca="false">102.65/95*Notas!$B$3</f>
        <v>102.65</v>
      </c>
    </row>
    <row r="206" customFormat="false" ht="15" hidden="false" customHeight="false" outlineLevel="0" collapsed="false">
      <c r="A206" s="13" t="s">
        <v>231</v>
      </c>
      <c r="B206" s="13" t="n">
        <v>7</v>
      </c>
      <c r="C206" s="17" t="n">
        <f aca="false">B206/100*Notas!$B$3</f>
        <v>6.65</v>
      </c>
      <c r="D206" s="17" t="n">
        <f aca="false">21.14/95*Notas!$B$3</f>
        <v>21.14</v>
      </c>
      <c r="E206" s="17" t="n">
        <f aca="false">19.54/95*Notas!$B$3</f>
        <v>19.54</v>
      </c>
      <c r="F206" s="13" t="n">
        <v>2</v>
      </c>
      <c r="G206" s="17" t="n">
        <f aca="false">8.83/95*Notas!$B$3</f>
        <v>8.83</v>
      </c>
      <c r="H206" s="17" t="n">
        <f aca="false">19.41/95*Notas!$B$3</f>
        <v>19.41</v>
      </c>
      <c r="I206" s="17" t="n">
        <f aca="false">53.62/95*Notas!$B$3</f>
        <v>53.62</v>
      </c>
      <c r="J206" s="17" t="n">
        <f aca="false">106.69/95*Notas!$B$3</f>
        <v>106.69</v>
      </c>
    </row>
    <row r="207" customFormat="false" ht="15" hidden="false" customHeight="false" outlineLevel="0" collapsed="false">
      <c r="A207" s="13" t="s">
        <v>231</v>
      </c>
      <c r="B207" s="13" t="n">
        <v>8</v>
      </c>
      <c r="C207" s="17" t="n">
        <f aca="false">B207/100*Notas!$B$3</f>
        <v>7.6</v>
      </c>
      <c r="D207" s="17" t="n">
        <f aca="false">21.57/95*Notas!$B$3</f>
        <v>21.57</v>
      </c>
      <c r="E207" s="17" t="n">
        <f aca="false">18.43/95*Notas!$B$3</f>
        <v>18.43</v>
      </c>
      <c r="F207" s="13" t="n">
        <v>1</v>
      </c>
      <c r="G207" s="17" t="n">
        <f aca="false">21.57/95*Notas!$B$3</f>
        <v>21.57</v>
      </c>
      <c r="H207" s="17" t="n">
        <f aca="false">18.43/95*Notas!$B$3</f>
        <v>18.43</v>
      </c>
      <c r="I207" s="17" t="n">
        <f aca="false">107.81/95*Notas!$B$3</f>
        <v>107.81</v>
      </c>
      <c r="J207" s="17" t="n">
        <f aca="false">107.81/95*Notas!$B$3</f>
        <v>107.81</v>
      </c>
    </row>
    <row r="208" customFormat="false" ht="15" hidden="false" customHeight="false" outlineLevel="0" collapsed="false">
      <c r="A208" s="13" t="s">
        <v>231</v>
      </c>
      <c r="B208" s="13" t="n">
        <v>9</v>
      </c>
      <c r="C208" s="17" t="n">
        <f aca="false">B208/100*Notas!$B$3</f>
        <v>8.55</v>
      </c>
      <c r="D208" s="17" t="n">
        <f aca="false">21.75/95*Notas!$B$3</f>
        <v>21.75</v>
      </c>
      <c r="E208" s="17" t="n">
        <f aca="false">12.51/95*Notas!$B$3</f>
        <v>12.51</v>
      </c>
      <c r="F208" s="13" t="n">
        <v>1</v>
      </c>
      <c r="G208" s="17" t="n">
        <f aca="false">21.75/95*Notas!$B$3</f>
        <v>21.75</v>
      </c>
      <c r="H208" s="17" t="n">
        <f aca="false">12.51/95*Notas!$B$3</f>
        <v>12.51</v>
      </c>
      <c r="I208" s="17" t="n">
        <f aca="false">86.11/95*Notas!$B$3</f>
        <v>86.11</v>
      </c>
      <c r="J208" s="17" t="n">
        <f aca="false">86.11/95*Notas!$B$3</f>
        <v>86.11</v>
      </c>
    </row>
    <row r="209" customFormat="false" ht="15" hidden="false" customHeight="false" outlineLevel="0" collapsed="false">
      <c r="A209" s="13" t="s">
        <v>231</v>
      </c>
      <c r="B209" s="13" t="n">
        <v>10</v>
      </c>
      <c r="C209" s="17" t="n">
        <f aca="false">B209/100*Notas!$B$3</f>
        <v>9.5</v>
      </c>
      <c r="D209" s="17" t="n">
        <f aca="false">21.92/95*Notas!$B$3</f>
        <v>21.92</v>
      </c>
      <c r="E209" s="17" t="n">
        <f aca="false">12.62/95*Notas!$B$3</f>
        <v>12.62</v>
      </c>
      <c r="F209" s="13" t="n">
        <v>1</v>
      </c>
      <c r="G209" s="17" t="n">
        <f aca="false">21.92/95*Notas!$B$3</f>
        <v>21.92</v>
      </c>
      <c r="H209" s="17" t="n">
        <f aca="false">12.62/95*Notas!$B$3</f>
        <v>12.62</v>
      </c>
      <c r="I209" s="17" t="n">
        <f aca="false">86.75/95*Notas!$B$3</f>
        <v>86.75</v>
      </c>
      <c r="J209" s="17" t="n">
        <f aca="false">86.75/95*Notas!$B$3</f>
        <v>86.75</v>
      </c>
    </row>
    <row r="210" customFormat="false" ht="15" hidden="false" customHeight="false" outlineLevel="0" collapsed="false">
      <c r="A210" s="13" t="s">
        <v>231</v>
      </c>
      <c r="B210" s="13" t="n">
        <v>11</v>
      </c>
      <c r="C210" s="17" t="n">
        <f aca="false">B210/100*Notas!$B$3</f>
        <v>10.45</v>
      </c>
      <c r="D210" s="17" t="n">
        <f aca="false">22.04/95*Notas!$B$3</f>
        <v>22.04</v>
      </c>
      <c r="E210" s="17" t="n">
        <f aca="false">12.75/95*Notas!$B$3</f>
        <v>12.75</v>
      </c>
      <c r="F210" s="13" t="n">
        <v>1</v>
      </c>
      <c r="G210" s="17" t="n">
        <f aca="false">22.04/95*Notas!$B$3</f>
        <v>22.04</v>
      </c>
      <c r="H210" s="17" t="n">
        <f aca="false">12.75/95*Notas!$B$3</f>
        <v>12.75</v>
      </c>
      <c r="I210" s="17" t="n">
        <f aca="false">87.35/95*Notas!$B$3</f>
        <v>87.35</v>
      </c>
      <c r="J210" s="17" t="n">
        <f aca="false">87.35/95*Notas!$B$3</f>
        <v>87.35</v>
      </c>
    </row>
    <row r="211" customFormat="false" ht="15" hidden="false" customHeight="false" outlineLevel="0" collapsed="false">
      <c r="A211" s="13" t="s">
        <v>231</v>
      </c>
      <c r="B211" s="13" t="n">
        <v>12</v>
      </c>
      <c r="C211" s="17" t="n">
        <f aca="false">B211/100*Notas!$B$3</f>
        <v>11.4</v>
      </c>
      <c r="D211" s="17" t="n">
        <f aca="false">22.13/95*Notas!$B$3</f>
        <v>22.13</v>
      </c>
      <c r="E211" s="17" t="n">
        <f aca="false">12.81/95*Notas!$B$3</f>
        <v>12.81</v>
      </c>
      <c r="F211" s="13" t="n">
        <v>1</v>
      </c>
      <c r="G211" s="17" t="n">
        <f aca="false">22.13/95*Notas!$B$3</f>
        <v>22.13</v>
      </c>
      <c r="H211" s="17" t="n">
        <f aca="false">12.81/95*Notas!$B$3</f>
        <v>12.81</v>
      </c>
      <c r="I211" s="17" t="n">
        <f aca="false">87.44/95*Notas!$B$3</f>
        <v>87.44</v>
      </c>
      <c r="J211" s="17" t="n">
        <f aca="false">87.44/95*Notas!$B$3</f>
        <v>87.44</v>
      </c>
    </row>
    <row r="212" customFormat="false" ht="15" hidden="false" customHeight="false" outlineLevel="0" collapsed="false">
      <c r="A212" s="13" t="s">
        <v>231</v>
      </c>
      <c r="B212" s="13" t="n">
        <v>13</v>
      </c>
      <c r="C212" s="17" t="n">
        <f aca="false">B212/100*Notas!$B$3</f>
        <v>12.35</v>
      </c>
      <c r="D212" s="17" t="n">
        <f aca="false">20.86/95*Notas!$B$3</f>
        <v>20.86</v>
      </c>
      <c r="E212" s="17" t="n">
        <f aca="false">11.99/95*Notas!$B$3</f>
        <v>11.99</v>
      </c>
      <c r="F212" s="13" t="n">
        <v>2</v>
      </c>
      <c r="G212" s="17" t="n">
        <f aca="false">9.37/95*Notas!$B$3</f>
        <v>9.37</v>
      </c>
      <c r="H212" s="17" t="n">
        <f aca="false">11.95/95*Notas!$B$3</f>
        <v>11.95</v>
      </c>
      <c r="I212" s="17" t="n">
        <f aca="false">37.65/95*Notas!$B$3</f>
        <v>37.65</v>
      </c>
      <c r="J212" s="17" t="n">
        <f aca="false">75.11/95*Notas!$B$3</f>
        <v>75.11</v>
      </c>
    </row>
    <row r="213" customFormat="false" ht="15" hidden="false" customHeight="false" outlineLevel="0" collapsed="false">
      <c r="A213" s="13" t="s">
        <v>231</v>
      </c>
      <c r="B213" s="13" t="n">
        <v>14</v>
      </c>
      <c r="C213" s="17" t="n">
        <f aca="false">B213/100*Notas!$B$3</f>
        <v>13.3</v>
      </c>
      <c r="D213" s="17" t="n">
        <f aca="false">20.85/95*Notas!$B$3</f>
        <v>20.85</v>
      </c>
      <c r="E213" s="17" t="n">
        <f aca="false">12.28/95*Notas!$B$3</f>
        <v>12.28</v>
      </c>
      <c r="F213" s="13" t="n">
        <v>2</v>
      </c>
      <c r="G213" s="17" t="n">
        <f aca="false">9.46/95*Notas!$B$3</f>
        <v>9.46</v>
      </c>
      <c r="H213" s="17" t="n">
        <f aca="false">12.23/95*Notas!$B$3</f>
        <v>12.23</v>
      </c>
      <c r="I213" s="17" t="n">
        <f aca="false">37.98/95*Notas!$B$3</f>
        <v>37.98</v>
      </c>
      <c r="J213" s="17" t="n">
        <f aca="false">75.86/95*Notas!$B$3</f>
        <v>75.86</v>
      </c>
    </row>
    <row r="214" customFormat="false" ht="15" hidden="false" customHeight="false" outlineLevel="0" collapsed="false">
      <c r="A214" s="13" t="s">
        <v>231</v>
      </c>
      <c r="B214" s="13" t="n">
        <v>15</v>
      </c>
      <c r="C214" s="17" t="n">
        <f aca="false">B214/100*Notas!$B$3</f>
        <v>14.25</v>
      </c>
      <c r="D214" s="17" t="n">
        <f aca="false">20.84/95*Notas!$B$3</f>
        <v>20.84</v>
      </c>
      <c r="E214" s="17" t="n">
        <f aca="false">12.51/95*Notas!$B$3</f>
        <v>12.51</v>
      </c>
      <c r="F214" s="13" t="n">
        <v>2</v>
      </c>
      <c r="G214" s="17" t="n">
        <f aca="false">9.55/95*Notas!$B$3</f>
        <v>9.55</v>
      </c>
      <c r="H214" s="17" t="n">
        <f aca="false">12.46/95*Notas!$B$3</f>
        <v>12.46</v>
      </c>
      <c r="I214" s="17" t="n">
        <f aca="false">38.38/95*Notas!$B$3</f>
        <v>38.38</v>
      </c>
      <c r="J214" s="17" t="n">
        <f aca="false">76.62/95*Notas!$B$3</f>
        <v>76.62</v>
      </c>
    </row>
    <row r="215" customFormat="false" ht="15" hidden="false" customHeight="false" outlineLevel="0" collapsed="false">
      <c r="A215" s="13" t="s">
        <v>231</v>
      </c>
      <c r="B215" s="13" t="n">
        <v>16</v>
      </c>
      <c r="C215" s="17" t="n">
        <f aca="false">B215/100*Notas!$B$3</f>
        <v>15.2</v>
      </c>
      <c r="D215" s="17" t="n">
        <f aca="false">20.88/95*Notas!$B$3</f>
        <v>20.88</v>
      </c>
      <c r="E215" s="17" t="n">
        <f aca="false">12.74/95*Notas!$B$3</f>
        <v>12.74</v>
      </c>
      <c r="F215" s="13" t="n">
        <v>2</v>
      </c>
      <c r="G215" s="17" t="n">
        <f aca="false">9.59/95*Notas!$B$3</f>
        <v>9.59</v>
      </c>
      <c r="H215" s="17" t="n">
        <f aca="false">12.68/95*Notas!$B$3</f>
        <v>12.68</v>
      </c>
      <c r="I215" s="17" t="n">
        <f aca="false">38.79/95*Notas!$B$3</f>
        <v>38.79</v>
      </c>
      <c r="J215" s="17" t="n">
        <f aca="false">77.4/95*Notas!$B$3</f>
        <v>77.4</v>
      </c>
    </row>
    <row r="216" customFormat="false" ht="15" hidden="false" customHeight="false" outlineLevel="0" collapsed="false">
      <c r="A216" s="13" t="s">
        <v>231</v>
      </c>
      <c r="B216" s="13" t="n">
        <v>17</v>
      </c>
      <c r="C216" s="17" t="n">
        <f aca="false">B216/100*Notas!$B$3</f>
        <v>16.15</v>
      </c>
      <c r="D216" s="17" t="n">
        <f aca="false">20.91/95*Notas!$B$3</f>
        <v>20.91</v>
      </c>
      <c r="E216" s="17" t="n">
        <f aca="false">12.98/95*Notas!$B$3</f>
        <v>12.98</v>
      </c>
      <c r="F216" s="13" t="n">
        <v>2</v>
      </c>
      <c r="G216" s="17" t="n">
        <f aca="false">9.28/95*Notas!$B$3</f>
        <v>9.28</v>
      </c>
      <c r="H216" s="17" t="n">
        <f aca="false">12.94/95*Notas!$B$3</f>
        <v>12.94</v>
      </c>
      <c r="I216" s="17" t="n">
        <f aca="false">39.03/95*Notas!$B$3</f>
        <v>39.03</v>
      </c>
      <c r="J216" s="17" t="n">
        <f aca="false">78.23/95*Notas!$B$3</f>
        <v>78.23</v>
      </c>
    </row>
    <row r="217" customFormat="false" ht="15" hidden="false" customHeight="false" outlineLevel="0" collapsed="false">
      <c r="A217" s="13" t="s">
        <v>231</v>
      </c>
      <c r="B217" s="13" t="n">
        <v>18</v>
      </c>
      <c r="C217" s="17" t="n">
        <f aca="false">B217/100*Notas!$B$3</f>
        <v>17.1</v>
      </c>
      <c r="D217" s="17" t="n">
        <f aca="false">20.94/95*Notas!$B$3</f>
        <v>20.94</v>
      </c>
      <c r="E217" s="17" t="n">
        <f aca="false">13.22/95*Notas!$B$3</f>
        <v>13.22</v>
      </c>
      <c r="F217" s="13" t="n">
        <v>2</v>
      </c>
      <c r="G217" s="17" t="n">
        <f aca="false">9.32/95*Notas!$B$3</f>
        <v>9.32</v>
      </c>
      <c r="H217" s="17" t="n">
        <f aca="false">13.17/95*Notas!$B$3</f>
        <v>13.17</v>
      </c>
      <c r="I217" s="17" t="n">
        <f aca="false">39.45/95*Notas!$B$3</f>
        <v>39.45</v>
      </c>
      <c r="J217" s="17" t="n">
        <f aca="false">79.1/95*Notas!$B$3</f>
        <v>79.1</v>
      </c>
    </row>
    <row r="218" customFormat="false" ht="15" hidden="false" customHeight="false" outlineLevel="0" collapsed="false">
      <c r="A218" s="13" t="s">
        <v>231</v>
      </c>
      <c r="B218" s="13" t="n">
        <v>19</v>
      </c>
      <c r="C218" s="17" t="n">
        <f aca="false">B218/100*Notas!$B$3</f>
        <v>18.05</v>
      </c>
      <c r="D218" s="17" t="n">
        <f aca="false">21.08/95*Notas!$B$3</f>
        <v>21.08</v>
      </c>
      <c r="E218" s="17" t="n">
        <f aca="false">13.43/95*Notas!$B$3</f>
        <v>13.43</v>
      </c>
      <c r="F218" s="13" t="n">
        <v>2</v>
      </c>
      <c r="G218" s="17" t="n">
        <f aca="false">9.4/95*Notas!$B$3</f>
        <v>9.4</v>
      </c>
      <c r="H218" s="17" t="n">
        <f aca="false">13.4/95*Notas!$B$3</f>
        <v>13.4</v>
      </c>
      <c r="I218" s="17" t="n">
        <f aca="false">39.9/95*Notas!$B$3</f>
        <v>39.9</v>
      </c>
      <c r="J218" s="17" t="n">
        <f aca="false">80.04/95*Notas!$B$3</f>
        <v>80.04</v>
      </c>
    </row>
    <row r="219" customFormat="false" ht="15" hidden="false" customHeight="false" outlineLevel="0" collapsed="false">
      <c r="A219" s="13" t="s">
        <v>231</v>
      </c>
      <c r="B219" s="13" t="n">
        <v>20</v>
      </c>
      <c r="C219" s="17" t="n">
        <f aca="false">B219/100*Notas!$B$3</f>
        <v>19</v>
      </c>
      <c r="D219" s="17" t="n">
        <f aca="false">21.24/95*Notas!$B$3</f>
        <v>21.24</v>
      </c>
      <c r="E219" s="17" t="n">
        <f aca="false">13.64/95*Notas!$B$3</f>
        <v>13.64</v>
      </c>
      <c r="F219" s="13" t="n">
        <v>2</v>
      </c>
      <c r="G219" s="17" t="n">
        <f aca="false">9.89/95*Notas!$B$3</f>
        <v>9.89</v>
      </c>
      <c r="H219" s="17" t="n">
        <f aca="false">13.59/95*Notas!$B$3</f>
        <v>13.59</v>
      </c>
      <c r="I219" s="17" t="n">
        <f aca="false">40.67/95*Notas!$B$3</f>
        <v>40.67</v>
      </c>
      <c r="J219" s="17" t="n">
        <f aca="false">81.13/95*Notas!$B$3</f>
        <v>81.13</v>
      </c>
    </row>
    <row r="220" customFormat="false" ht="15" hidden="false" customHeight="false" outlineLevel="0" collapsed="false">
      <c r="A220" s="13" t="s">
        <v>231</v>
      </c>
      <c r="B220" s="13" t="n">
        <v>21</v>
      </c>
      <c r="C220" s="17" t="n">
        <f aca="false">B220/100*Notas!$B$3</f>
        <v>19.95</v>
      </c>
      <c r="D220" s="17" t="n">
        <f aca="false">21.73/95*Notas!$B$3</f>
        <v>21.73</v>
      </c>
      <c r="E220" s="17" t="n">
        <f aca="false">13.85/95*Notas!$B$3</f>
        <v>13.85</v>
      </c>
      <c r="F220" s="13" t="n">
        <v>2</v>
      </c>
      <c r="G220" s="17" t="n">
        <f aca="false">9.79/95*Notas!$B$3</f>
        <v>9.79</v>
      </c>
      <c r="H220" s="17" t="n">
        <f aca="false">13.85/95*Notas!$B$3</f>
        <v>13.85</v>
      </c>
      <c r="I220" s="17" t="n">
        <f aca="false">41.09/95*Notas!$B$3</f>
        <v>41.09</v>
      </c>
      <c r="J220" s="17" t="n">
        <f aca="false">82.59/95*Notas!$B$3</f>
        <v>82.59</v>
      </c>
    </row>
    <row r="221" customFormat="false" ht="15" hidden="false" customHeight="false" outlineLevel="0" collapsed="false">
      <c r="A221" s="13" t="s">
        <v>231</v>
      </c>
      <c r="B221" s="13" t="n">
        <v>22</v>
      </c>
      <c r="C221" s="17" t="n">
        <f aca="false">B221/100*Notas!$B$3</f>
        <v>20.9</v>
      </c>
      <c r="D221" s="17" t="n">
        <f aca="false">24.77/95*Notas!$B$3</f>
        <v>24.77</v>
      </c>
      <c r="E221" s="17" t="n">
        <f aca="false">14.06/95*Notas!$B$3</f>
        <v>14.06</v>
      </c>
      <c r="F221" s="13" t="n">
        <v>2</v>
      </c>
      <c r="G221" s="17" t="n">
        <f aca="false">11.64/95*Notas!$B$3</f>
        <v>11.64</v>
      </c>
      <c r="H221" s="17" t="n">
        <f aca="false">14.06/95*Notas!$B$3</f>
        <v>14.06</v>
      </c>
      <c r="I221" s="17" t="n">
        <f aca="false">44.55/95*Notas!$B$3</f>
        <v>44.55</v>
      </c>
      <c r="J221" s="17" t="n">
        <f aca="false">88.6/95*Notas!$B$3</f>
        <v>88.6</v>
      </c>
    </row>
    <row r="222" customFormat="false" ht="15" hidden="false" customHeight="false" outlineLevel="0" collapsed="false">
      <c r="A222" s="13" t="s">
        <v>231</v>
      </c>
      <c r="B222" s="13" t="n">
        <v>23</v>
      </c>
      <c r="C222" s="17" t="n">
        <f aca="false">B222/100*Notas!$B$3</f>
        <v>21.85</v>
      </c>
      <c r="D222" s="17" t="n">
        <f aca="false">25.05/95*Notas!$B$3</f>
        <v>25.05</v>
      </c>
      <c r="E222" s="17" t="n">
        <f aca="false">14.49/95*Notas!$B$3</f>
        <v>14.49</v>
      </c>
      <c r="F222" s="13" t="n">
        <v>2</v>
      </c>
      <c r="G222" s="17" t="n">
        <f aca="false">12.23/95*Notas!$B$3</f>
        <v>12.23</v>
      </c>
      <c r="H222" s="17" t="n">
        <f aca="false">14.47/95*Notas!$B$3</f>
        <v>14.47</v>
      </c>
      <c r="I222" s="17" t="n">
        <f aca="false">45.98/95*Notas!$B$3</f>
        <v>45.98</v>
      </c>
      <c r="J222" s="17" t="n">
        <f aca="false">91.76/95*Notas!$B$3</f>
        <v>91.76</v>
      </c>
    </row>
    <row r="223" customFormat="false" ht="15" hidden="false" customHeight="false" outlineLevel="0" collapsed="false">
      <c r="A223" s="13" t="s">
        <v>231</v>
      </c>
      <c r="B223" s="13" t="n">
        <v>24</v>
      </c>
      <c r="C223" s="17" t="n">
        <f aca="false">B223/100*Notas!$B$3</f>
        <v>22.8</v>
      </c>
      <c r="D223" s="17" t="n">
        <f aca="false">24.48/95*Notas!$B$3</f>
        <v>24.48</v>
      </c>
      <c r="E223" s="17" t="n">
        <f aca="false">14.96/95*Notas!$B$3</f>
        <v>14.96</v>
      </c>
      <c r="F223" s="13" t="n">
        <v>1</v>
      </c>
      <c r="G223" s="17" t="n">
        <f aca="false">24.48/95*Notas!$B$3</f>
        <v>24.48</v>
      </c>
      <c r="H223" s="17" t="n">
        <f aca="false">14.96/95*Notas!$B$3</f>
        <v>14.96</v>
      </c>
      <c r="I223" s="17" t="n">
        <f aca="false">76.94/95*Notas!$B$3</f>
        <v>76.94</v>
      </c>
      <c r="J223" s="17" t="n">
        <f aca="false">76.94/95*Notas!$B$3</f>
        <v>76.94</v>
      </c>
    </row>
    <row r="224" customFormat="false" ht="15" hidden="false" customHeight="false" outlineLevel="0" collapsed="false">
      <c r="A224" s="13" t="s">
        <v>231</v>
      </c>
      <c r="B224" s="13" t="n">
        <v>25</v>
      </c>
      <c r="C224" s="17" t="n">
        <f aca="false">B224/100*Notas!$B$3</f>
        <v>23.75</v>
      </c>
      <c r="D224" s="17" t="n">
        <f aca="false">23.51/95*Notas!$B$3</f>
        <v>23.51</v>
      </c>
      <c r="E224" s="17" t="n">
        <f aca="false">15.45/95*Notas!$B$3</f>
        <v>15.45</v>
      </c>
      <c r="F224" s="13" t="n">
        <v>1</v>
      </c>
      <c r="G224" s="17" t="n">
        <f aca="false">23.51/95*Notas!$B$3</f>
        <v>23.51</v>
      </c>
      <c r="H224" s="17" t="n">
        <f aca="false">15.45/95*Notas!$B$3</f>
        <v>15.45</v>
      </c>
      <c r="I224" s="17" t="n">
        <f aca="false">73.63/95*Notas!$B$3</f>
        <v>73.63</v>
      </c>
      <c r="J224" s="17" t="n">
        <f aca="false">73.63/95*Notas!$B$3</f>
        <v>73.63</v>
      </c>
    </row>
    <row r="225" customFormat="false" ht="15" hidden="false" customHeight="false" outlineLevel="0" collapsed="false">
      <c r="A225" s="13" t="s">
        <v>231</v>
      </c>
      <c r="B225" s="13" t="n">
        <v>26</v>
      </c>
      <c r="C225" s="17" t="n">
        <f aca="false">B225/100*Notas!$B$3</f>
        <v>24.7</v>
      </c>
      <c r="D225" s="17" t="n">
        <f aca="false">22.46/95*Notas!$B$3</f>
        <v>22.46</v>
      </c>
      <c r="E225" s="17" t="n">
        <f aca="false">15.74/95*Notas!$B$3</f>
        <v>15.74</v>
      </c>
      <c r="F225" s="13" t="n">
        <v>1</v>
      </c>
      <c r="G225" s="17" t="n">
        <f aca="false">22.46/95*Notas!$B$3</f>
        <v>22.46</v>
      </c>
      <c r="H225" s="17" t="n">
        <f aca="false">15.74/95*Notas!$B$3</f>
        <v>15.74</v>
      </c>
      <c r="I225" s="17" t="n">
        <f aca="false">72.35/95*Notas!$B$3</f>
        <v>72.35</v>
      </c>
      <c r="J225" s="17" t="n">
        <f aca="false">72.35/95*Notas!$B$3</f>
        <v>72.35</v>
      </c>
    </row>
    <row r="226" customFormat="false" ht="15" hidden="false" customHeight="false" outlineLevel="0" collapsed="false">
      <c r="A226" s="13" t="s">
        <v>231</v>
      </c>
      <c r="B226" s="13" t="n">
        <v>27</v>
      </c>
      <c r="C226" s="17" t="n">
        <f aca="false">B226/100*Notas!$B$3</f>
        <v>25.65</v>
      </c>
      <c r="D226" s="17" t="n">
        <f aca="false">21.92/95*Notas!$B$3</f>
        <v>21.92</v>
      </c>
      <c r="E226" s="17" t="n">
        <f aca="false">15.9/95*Notas!$B$3</f>
        <v>15.9</v>
      </c>
      <c r="F226" s="13" t="n">
        <v>1</v>
      </c>
      <c r="G226" s="17" t="n">
        <f aca="false">21.92/95*Notas!$B$3</f>
        <v>21.92</v>
      </c>
      <c r="H226" s="17" t="n">
        <f aca="false">15.9/95*Notas!$B$3</f>
        <v>15.9</v>
      </c>
      <c r="I226" s="17" t="n">
        <f aca="false">71.01/95*Notas!$B$3</f>
        <v>71.01</v>
      </c>
      <c r="J226" s="17" t="n">
        <f aca="false">71.01/95*Notas!$B$3</f>
        <v>71.01</v>
      </c>
    </row>
    <row r="227" customFormat="false" ht="15" hidden="false" customHeight="false" outlineLevel="0" collapsed="false">
      <c r="A227" s="13" t="s">
        <v>231</v>
      </c>
      <c r="B227" s="13" t="n">
        <v>28</v>
      </c>
      <c r="C227" s="17" t="n">
        <f aca="false">B227/100*Notas!$B$3</f>
        <v>26.6</v>
      </c>
      <c r="D227" s="17" t="n">
        <f aca="false">21.52/95*Notas!$B$3</f>
        <v>21.52</v>
      </c>
      <c r="E227" s="17" t="n">
        <f aca="false">18.97/95*Notas!$B$3</f>
        <v>18.97</v>
      </c>
      <c r="F227" s="13" t="n">
        <v>2</v>
      </c>
      <c r="G227" s="17" t="n">
        <f aca="false">21.52/95*Notas!$B$3</f>
        <v>21.52</v>
      </c>
      <c r="H227" s="17" t="n">
        <f aca="false">16.1/95*Notas!$B$3</f>
        <v>16.1</v>
      </c>
      <c r="I227" s="17" t="n">
        <f aca="false">70.08/95*Notas!$B$3</f>
        <v>70.08</v>
      </c>
      <c r="J227" s="17" t="n">
        <f aca="false">79.15/95*Notas!$B$3</f>
        <v>79.15</v>
      </c>
    </row>
    <row r="228" customFormat="false" ht="15" hidden="false" customHeight="false" outlineLevel="0" collapsed="false">
      <c r="A228" s="13" t="s">
        <v>231</v>
      </c>
      <c r="B228" s="13" t="n">
        <v>29</v>
      </c>
      <c r="C228" s="17" t="n">
        <f aca="false">B228/100*Notas!$B$3</f>
        <v>27.55</v>
      </c>
      <c r="D228" s="17" t="n">
        <f aca="false">21.15/95*Notas!$B$3</f>
        <v>21.15</v>
      </c>
      <c r="E228" s="17" t="n">
        <f aca="false">18.65/95*Notas!$B$3</f>
        <v>18.65</v>
      </c>
      <c r="F228" s="13" t="n">
        <v>1</v>
      </c>
      <c r="G228" s="17" t="n">
        <f aca="false">21.15/95*Notas!$B$3</f>
        <v>21.15</v>
      </c>
      <c r="H228" s="17" t="n">
        <f aca="false">18.65/95*Notas!$B$3</f>
        <v>18.65</v>
      </c>
      <c r="I228" s="17" t="n">
        <f aca="false">72.93/95*Notas!$B$3</f>
        <v>72.93</v>
      </c>
      <c r="J228" s="17" t="n">
        <f aca="false">72.93/95*Notas!$B$3</f>
        <v>72.93</v>
      </c>
    </row>
    <row r="229" customFormat="false" ht="15" hidden="false" customHeight="false" outlineLevel="0" collapsed="false">
      <c r="A229" s="13" t="s">
        <v>231</v>
      </c>
      <c r="B229" s="13" t="n">
        <v>30</v>
      </c>
      <c r="C229" s="17" t="n">
        <f aca="false">B229/100*Notas!$B$3</f>
        <v>28.5</v>
      </c>
      <c r="D229" s="17" t="n">
        <f aca="false">20.82/95*Notas!$B$3</f>
        <v>20.82</v>
      </c>
      <c r="E229" s="17" t="n">
        <f aca="false">18.36/95*Notas!$B$3</f>
        <v>18.36</v>
      </c>
      <c r="F229" s="13" t="n">
        <v>1</v>
      </c>
      <c r="G229" s="17" t="n">
        <f aca="false">20.82/95*Notas!$B$3</f>
        <v>20.82</v>
      </c>
      <c r="H229" s="17" t="n">
        <f aca="false">18.36/95*Notas!$B$3</f>
        <v>18.36</v>
      </c>
      <c r="I229" s="17" t="n">
        <f aca="false">71.36/95*Notas!$B$3</f>
        <v>71.36</v>
      </c>
      <c r="J229" s="17" t="n">
        <f aca="false">71.36/95*Notas!$B$3</f>
        <v>71.36</v>
      </c>
    </row>
    <row r="230" customFormat="false" ht="15" hidden="false" customHeight="false" outlineLevel="0" collapsed="false">
      <c r="A230" s="13" t="s">
        <v>231</v>
      </c>
      <c r="B230" s="13" t="n">
        <v>31</v>
      </c>
      <c r="C230" s="17" t="n">
        <f aca="false">B230/100*Notas!$B$3</f>
        <v>29.45</v>
      </c>
      <c r="D230" s="17" t="n">
        <f aca="false">20.51/95*Notas!$B$3</f>
        <v>20.51</v>
      </c>
      <c r="E230" s="17" t="n">
        <f aca="false">18.08/95*Notas!$B$3</f>
        <v>18.08</v>
      </c>
      <c r="F230" s="13" t="n">
        <v>1</v>
      </c>
      <c r="G230" s="17" t="n">
        <f aca="false">20.51/95*Notas!$B$3</f>
        <v>20.51</v>
      </c>
      <c r="H230" s="17" t="n">
        <f aca="false">18.08/95*Notas!$B$3</f>
        <v>18.08</v>
      </c>
      <c r="I230" s="17" t="n">
        <f aca="false">70.42/95*Notas!$B$3</f>
        <v>70.42</v>
      </c>
      <c r="J230" s="17" t="n">
        <f aca="false">70.42/95*Notas!$B$3</f>
        <v>70.42</v>
      </c>
    </row>
    <row r="231" customFormat="false" ht="15" hidden="false" customHeight="false" outlineLevel="0" collapsed="false">
      <c r="A231" s="13" t="s">
        <v>231</v>
      </c>
      <c r="B231" s="13" t="n">
        <v>32</v>
      </c>
      <c r="C231" s="17" t="n">
        <f aca="false">B231/100*Notas!$B$3</f>
        <v>30.4</v>
      </c>
      <c r="D231" s="17" t="n">
        <f aca="false">22.36/95*Notas!$B$3</f>
        <v>22.36</v>
      </c>
      <c r="E231" s="17" t="n">
        <f aca="false">18.92/95*Notas!$B$3</f>
        <v>18.92</v>
      </c>
      <c r="F231" s="13" t="n">
        <v>1</v>
      </c>
      <c r="G231" s="17" t="n">
        <f aca="false">22.36/95*Notas!$B$3</f>
        <v>22.36</v>
      </c>
      <c r="H231" s="17" t="n">
        <f aca="false">18.92/95*Notas!$B$3</f>
        <v>18.92</v>
      </c>
      <c r="I231" s="17" t="n">
        <f aca="false">78.47/95*Notas!$B$3</f>
        <v>78.47</v>
      </c>
      <c r="J231" s="17" t="n">
        <f aca="false">78.47/95*Notas!$B$3</f>
        <v>78.47</v>
      </c>
    </row>
    <row r="232" customFormat="false" ht="15" hidden="false" customHeight="false" outlineLevel="0" collapsed="false">
      <c r="A232" s="13" t="s">
        <v>231</v>
      </c>
      <c r="B232" s="13" t="n">
        <v>33</v>
      </c>
      <c r="C232" s="17" t="n">
        <f aca="false">B232/100*Notas!$B$3</f>
        <v>31.35</v>
      </c>
      <c r="D232" s="17" t="n">
        <f aca="false">22.27/95*Notas!$B$3</f>
        <v>22.27</v>
      </c>
      <c r="E232" s="17" t="n">
        <f aca="false">18.72/95*Notas!$B$3</f>
        <v>18.72</v>
      </c>
      <c r="F232" s="13" t="n">
        <v>1</v>
      </c>
      <c r="G232" s="17" t="n">
        <f aca="false">22.27/95*Notas!$B$3</f>
        <v>22.27</v>
      </c>
      <c r="H232" s="17" t="n">
        <f aca="false">18.72/95*Notas!$B$3</f>
        <v>18.72</v>
      </c>
      <c r="I232" s="17" t="n">
        <f aca="false">76.16/95*Notas!$B$3</f>
        <v>76.16</v>
      </c>
      <c r="J232" s="17" t="n">
        <f aca="false">76.16/95*Notas!$B$3</f>
        <v>76.16</v>
      </c>
    </row>
    <row r="233" customFormat="false" ht="15" hidden="false" customHeight="false" outlineLevel="0" collapsed="false">
      <c r="A233" s="13" t="s">
        <v>231</v>
      </c>
      <c r="B233" s="13" t="n">
        <v>34</v>
      </c>
      <c r="C233" s="17" t="n">
        <f aca="false">B233/100*Notas!$B$3</f>
        <v>32.3</v>
      </c>
      <c r="D233" s="17" t="n">
        <f aca="false">21.83/95*Notas!$B$3</f>
        <v>21.83</v>
      </c>
      <c r="E233" s="17" t="n">
        <f aca="false">18.44/95*Notas!$B$3</f>
        <v>18.44</v>
      </c>
      <c r="F233" s="13" t="n">
        <v>1</v>
      </c>
      <c r="G233" s="17" t="n">
        <f aca="false">21.83/95*Notas!$B$3</f>
        <v>21.83</v>
      </c>
      <c r="H233" s="17" t="n">
        <f aca="false">18.44/95*Notas!$B$3</f>
        <v>18.44</v>
      </c>
      <c r="I233" s="17" t="n">
        <f aca="false">74.08/95*Notas!$B$3</f>
        <v>74.08</v>
      </c>
      <c r="J233" s="17" t="n">
        <f aca="false">74.08/95*Notas!$B$3</f>
        <v>74.08</v>
      </c>
    </row>
    <row r="234" customFormat="false" ht="15" hidden="false" customHeight="false" outlineLevel="0" collapsed="false">
      <c r="A234" s="13" t="s">
        <v>231</v>
      </c>
      <c r="B234" s="13" t="n">
        <v>35</v>
      </c>
      <c r="C234" s="17" t="n">
        <f aca="false">B234/100*Notas!$B$3</f>
        <v>33.25</v>
      </c>
      <c r="D234" s="17" t="n">
        <f aca="false">21.38/95*Notas!$B$3</f>
        <v>21.38</v>
      </c>
      <c r="E234" s="17" t="n">
        <f aca="false">18.18/95*Notas!$B$3</f>
        <v>18.18</v>
      </c>
      <c r="F234" s="13" t="n">
        <v>1</v>
      </c>
      <c r="G234" s="17" t="n">
        <f aca="false">21.38/95*Notas!$B$3</f>
        <v>21.38</v>
      </c>
      <c r="H234" s="17" t="n">
        <f aca="false">18.18/95*Notas!$B$3</f>
        <v>18.18</v>
      </c>
      <c r="I234" s="17" t="n">
        <f aca="false">71.93/95*Notas!$B$3</f>
        <v>71.93</v>
      </c>
      <c r="J234" s="17" t="n">
        <f aca="false">71.93/95*Notas!$B$3</f>
        <v>71.93</v>
      </c>
    </row>
    <row r="235" customFormat="false" ht="15" hidden="false" customHeight="false" outlineLevel="0" collapsed="false">
      <c r="A235" s="13" t="s">
        <v>231</v>
      </c>
      <c r="B235" s="13" t="n">
        <v>36</v>
      </c>
      <c r="C235" s="17" t="n">
        <f aca="false">B235/100*Notas!$B$3</f>
        <v>34.2</v>
      </c>
      <c r="D235" s="17" t="n">
        <f aca="false">20.92/95*Notas!$B$3</f>
        <v>20.92</v>
      </c>
      <c r="E235" s="17" t="n">
        <f aca="false">19.08/95*Notas!$B$3</f>
        <v>19.08</v>
      </c>
      <c r="F235" s="13" t="n">
        <v>1</v>
      </c>
      <c r="G235" s="17" t="n">
        <f aca="false">20.92/95*Notas!$B$3</f>
        <v>20.92</v>
      </c>
      <c r="H235" s="17" t="n">
        <f aca="false">19.08/95*Notas!$B$3</f>
        <v>19.08</v>
      </c>
      <c r="I235" s="17" t="n">
        <f aca="false">73.67/95*Notas!$B$3</f>
        <v>73.67</v>
      </c>
      <c r="J235" s="17" t="n">
        <f aca="false">73.67/95*Notas!$B$3</f>
        <v>73.67</v>
      </c>
    </row>
    <row r="236" customFormat="false" ht="15" hidden="false" customHeight="false" outlineLevel="0" collapsed="false">
      <c r="A236" s="13" t="s">
        <v>231</v>
      </c>
      <c r="B236" s="13" t="n">
        <v>37</v>
      </c>
      <c r="C236" s="17" t="n">
        <f aca="false">B236/100*Notas!$B$3</f>
        <v>35.15</v>
      </c>
      <c r="D236" s="17" t="n">
        <f aca="false">20.45/95*Notas!$B$3</f>
        <v>20.45</v>
      </c>
      <c r="E236" s="17" t="n">
        <f aca="false">18.9/95*Notas!$B$3</f>
        <v>18.9</v>
      </c>
      <c r="F236" s="13" t="n">
        <v>1</v>
      </c>
      <c r="G236" s="17" t="n">
        <f aca="false">20.45/95*Notas!$B$3</f>
        <v>20.45</v>
      </c>
      <c r="H236" s="17" t="n">
        <f aca="false">18.9/95*Notas!$B$3</f>
        <v>18.9</v>
      </c>
      <c r="I236" s="17" t="n">
        <f aca="false">72.16/95*Notas!$B$3</f>
        <v>72.16</v>
      </c>
      <c r="J236" s="17" t="n">
        <f aca="false">72.16/95*Notas!$B$3</f>
        <v>72.16</v>
      </c>
    </row>
    <row r="237" customFormat="false" ht="15" hidden="false" customHeight="false" outlineLevel="0" collapsed="false">
      <c r="A237" s="13" t="s">
        <v>231</v>
      </c>
      <c r="B237" s="13" t="n">
        <v>38</v>
      </c>
      <c r="C237" s="17" t="n">
        <f aca="false">B237/100*Notas!$B$3</f>
        <v>36.1</v>
      </c>
      <c r="D237" s="17" t="n">
        <f aca="false">19.79/95*Notas!$B$3</f>
        <v>19.79</v>
      </c>
      <c r="E237" s="17" t="n">
        <f aca="false">18.71/95*Notas!$B$3</f>
        <v>18.71</v>
      </c>
      <c r="F237" s="13" t="n">
        <v>1</v>
      </c>
      <c r="G237" s="17" t="n">
        <f aca="false">19.79/95*Notas!$B$3</f>
        <v>19.79</v>
      </c>
      <c r="H237" s="17" t="n">
        <f aca="false">18.71/95*Notas!$B$3</f>
        <v>18.71</v>
      </c>
      <c r="I237" s="17" t="n">
        <f aca="false">70.63/95*Notas!$B$3</f>
        <v>70.63</v>
      </c>
      <c r="J237" s="17" t="n">
        <f aca="false">70.63/95*Notas!$B$3</f>
        <v>70.63</v>
      </c>
    </row>
    <row r="238" customFormat="false" ht="15" hidden="false" customHeight="false" outlineLevel="0" collapsed="false">
      <c r="A238" s="13" t="s">
        <v>231</v>
      </c>
      <c r="B238" s="13" t="n">
        <v>39</v>
      </c>
      <c r="C238" s="17" t="n">
        <f aca="false">B238/100*Notas!$B$3</f>
        <v>37.05</v>
      </c>
      <c r="D238" s="17" t="n">
        <f aca="false">18.73/95*Notas!$B$3</f>
        <v>18.73</v>
      </c>
      <c r="E238" s="17" t="n">
        <f aca="false">18.61/95*Notas!$B$3</f>
        <v>18.61</v>
      </c>
      <c r="F238" s="13" t="n">
        <v>1</v>
      </c>
      <c r="G238" s="17" t="n">
        <f aca="false">18.73/95*Notas!$B$3</f>
        <v>18.73</v>
      </c>
      <c r="H238" s="17" t="n">
        <f aca="false">18.61/95*Notas!$B$3</f>
        <v>18.61</v>
      </c>
      <c r="I238" s="17" t="n">
        <f aca="false">68.64/95*Notas!$B$3</f>
        <v>68.64</v>
      </c>
      <c r="J238" s="17" t="n">
        <f aca="false">68.64/95*Notas!$B$3</f>
        <v>68.64</v>
      </c>
    </row>
    <row r="239" customFormat="false" ht="15" hidden="false" customHeight="false" outlineLevel="0" collapsed="false">
      <c r="A239" s="13" t="s">
        <v>231</v>
      </c>
      <c r="B239" s="13" t="n">
        <v>40</v>
      </c>
      <c r="C239" s="17" t="n">
        <f aca="false">B239/100*Notas!$B$3</f>
        <v>38</v>
      </c>
      <c r="D239" s="17" t="n">
        <f aca="false">18.32/95*Notas!$B$3</f>
        <v>18.32</v>
      </c>
      <c r="E239" s="17" t="n">
        <f aca="false">18.53/95*Notas!$B$3</f>
        <v>18.53</v>
      </c>
      <c r="F239" s="13" t="n">
        <v>1</v>
      </c>
      <c r="G239" s="17" t="n">
        <f aca="false">18.32/95*Notas!$B$3</f>
        <v>18.32</v>
      </c>
      <c r="H239" s="17" t="n">
        <f aca="false">18.53/95*Notas!$B$3</f>
        <v>18.53</v>
      </c>
      <c r="I239" s="17" t="n">
        <f aca="false">67.63/95*Notas!$B$3</f>
        <v>67.63</v>
      </c>
      <c r="J239" s="17" t="n">
        <f aca="false">67.63/95*Notas!$B$3</f>
        <v>67.63</v>
      </c>
    </row>
    <row r="240" customFormat="false" ht="15" hidden="false" customHeight="false" outlineLevel="0" collapsed="false">
      <c r="A240" s="13" t="s">
        <v>231</v>
      </c>
      <c r="B240" s="13" t="n">
        <v>41</v>
      </c>
      <c r="C240" s="17" t="n">
        <f aca="false">B240/100*Notas!$B$3</f>
        <v>38.95</v>
      </c>
      <c r="D240" s="17" t="n">
        <f aca="false">51.73/95*Notas!$B$3</f>
        <v>51.73</v>
      </c>
      <c r="E240" s="17" t="n">
        <f aca="false">17.88/95*Notas!$B$3</f>
        <v>17.88</v>
      </c>
      <c r="F240" s="13" t="n">
        <v>3</v>
      </c>
      <c r="G240" s="17" t="n">
        <f aca="false">18.21/95*Notas!$B$3</f>
        <v>18.21</v>
      </c>
      <c r="H240" s="17" t="n">
        <f aca="false">17.88/95*Notas!$B$3</f>
        <v>17.88</v>
      </c>
      <c r="I240" s="17" t="n">
        <f aca="false">63.24/95*Notas!$B$3</f>
        <v>63.24</v>
      </c>
      <c r="J240" s="17" t="n">
        <f aca="false">112.23/95*Notas!$B$3</f>
        <v>112.23</v>
      </c>
    </row>
    <row r="241" customFormat="false" ht="15" hidden="false" customHeight="false" outlineLevel="0" collapsed="false">
      <c r="A241" s="13" t="s">
        <v>231</v>
      </c>
      <c r="B241" s="13" t="n">
        <v>42</v>
      </c>
      <c r="C241" s="17" t="n">
        <f aca="false">B241/100*Notas!$B$3</f>
        <v>39.9</v>
      </c>
      <c r="D241" s="17" t="n">
        <f aca="false">51.79/95*Notas!$B$3</f>
        <v>51.79</v>
      </c>
      <c r="E241" s="17" t="n">
        <f aca="false">17.8/95*Notas!$B$3</f>
        <v>17.8</v>
      </c>
      <c r="F241" s="13" t="n">
        <v>3</v>
      </c>
      <c r="G241" s="17" t="n">
        <f aca="false">18.19/95*Notas!$B$3</f>
        <v>18.19</v>
      </c>
      <c r="H241" s="17" t="n">
        <f aca="false">17.8/95*Notas!$B$3</f>
        <v>17.8</v>
      </c>
      <c r="I241" s="17" t="n">
        <f aca="false">62.53/95*Notas!$B$3</f>
        <v>62.53</v>
      </c>
      <c r="J241" s="17" t="n">
        <f aca="false">125.34/95*Notas!$B$3</f>
        <v>125.34</v>
      </c>
    </row>
    <row r="242" customFormat="false" ht="15" hidden="false" customHeight="false" outlineLevel="0" collapsed="false">
      <c r="A242" s="13" t="s">
        <v>231</v>
      </c>
      <c r="B242" s="13" t="n">
        <v>43</v>
      </c>
      <c r="C242" s="17" t="n">
        <f aca="false">B242/100*Notas!$B$3</f>
        <v>40.85</v>
      </c>
      <c r="D242" s="17" t="n">
        <f aca="false">65.7/95*Notas!$B$3</f>
        <v>65.7</v>
      </c>
      <c r="E242" s="17" t="n">
        <f aca="false">17.72/95*Notas!$B$3</f>
        <v>17.72</v>
      </c>
      <c r="F242" s="13" t="n">
        <v>4</v>
      </c>
      <c r="G242" s="17" t="n">
        <f aca="false">34.98/95*Notas!$B$3</f>
        <v>34.98</v>
      </c>
      <c r="H242" s="17" t="n">
        <f aca="false">17.72/95*Notas!$B$3</f>
        <v>17.72</v>
      </c>
      <c r="I242" s="17" t="n">
        <f aca="false">108.59/95*Notas!$B$3</f>
        <v>108.59</v>
      </c>
      <c r="J242" s="17" t="n">
        <f aca="false">169.97/95*Notas!$B$3</f>
        <v>169.97</v>
      </c>
    </row>
    <row r="243" customFormat="false" ht="15" hidden="false" customHeight="false" outlineLevel="0" collapsed="false">
      <c r="A243" s="13" t="s">
        <v>231</v>
      </c>
      <c r="B243" s="13" t="n">
        <v>44</v>
      </c>
      <c r="C243" s="17" t="n">
        <f aca="false">B243/100*Notas!$B$3</f>
        <v>41.8</v>
      </c>
      <c r="D243" s="17" t="n">
        <f aca="false">66.86/95*Notas!$B$3</f>
        <v>66.86</v>
      </c>
      <c r="E243" s="17" t="n">
        <f aca="false">17.54/95*Notas!$B$3</f>
        <v>17.54</v>
      </c>
      <c r="F243" s="13" t="n">
        <v>3</v>
      </c>
      <c r="G243" s="17" t="n">
        <f aca="false">51.9/95*Notas!$B$3</f>
        <v>51.9</v>
      </c>
      <c r="H243" s="17" t="n">
        <f aca="false">17.54/95*Notas!$B$3</f>
        <v>17.54</v>
      </c>
      <c r="I243" s="17" t="n">
        <f aca="false">146.58/95*Notas!$B$3</f>
        <v>146.58</v>
      </c>
      <c r="J243" s="17" t="n">
        <f aca="false">175.29/95*Notas!$B$3</f>
        <v>175.29</v>
      </c>
    </row>
    <row r="244" customFormat="false" ht="15" hidden="false" customHeight="false" outlineLevel="0" collapsed="false">
      <c r="A244" s="13" t="s">
        <v>231</v>
      </c>
      <c r="B244" s="13" t="n">
        <v>45</v>
      </c>
      <c r="C244" s="17" t="n">
        <f aca="false">B244/100*Notas!$B$3</f>
        <v>42.75</v>
      </c>
      <c r="D244" s="17" t="n">
        <f aca="false">66.88/95*Notas!$B$3</f>
        <v>66.88</v>
      </c>
      <c r="E244" s="17" t="n">
        <f aca="false">17.16/95*Notas!$B$3</f>
        <v>17.16</v>
      </c>
      <c r="F244" s="13" t="n">
        <v>1</v>
      </c>
      <c r="G244" s="17" t="n">
        <f aca="false">66.88/95*Notas!$B$3</f>
        <v>66.88</v>
      </c>
      <c r="H244" s="17" t="n">
        <f aca="false">17.16/95*Notas!$B$3</f>
        <v>17.16</v>
      </c>
      <c r="I244" s="17" t="n">
        <f aca="false">180.75/95*Notas!$B$3</f>
        <v>180.75</v>
      </c>
      <c r="J244" s="17" t="n">
        <f aca="false">180.75/95*Notas!$B$3</f>
        <v>180.75</v>
      </c>
    </row>
    <row r="245" customFormat="false" ht="15" hidden="false" customHeight="false" outlineLevel="0" collapsed="false">
      <c r="A245" s="13" t="s">
        <v>231</v>
      </c>
      <c r="B245" s="13" t="n">
        <v>46</v>
      </c>
      <c r="C245" s="17" t="n">
        <f aca="false">B245/100*Notas!$B$3</f>
        <v>43.7</v>
      </c>
      <c r="D245" s="17" t="n">
        <f aca="false">79.03/95*Notas!$B$3</f>
        <v>79.03</v>
      </c>
      <c r="E245" s="17" t="n">
        <f aca="false">17.01/95*Notas!$B$3</f>
        <v>17.01</v>
      </c>
      <c r="F245" s="13" t="n">
        <v>1</v>
      </c>
      <c r="G245" s="17" t="n">
        <f aca="false">79.03/95*Notas!$B$3</f>
        <v>79.03</v>
      </c>
      <c r="H245" s="17" t="n">
        <f aca="false">17.01/95*Notas!$B$3</f>
        <v>17.01</v>
      </c>
      <c r="I245" s="17" t="n">
        <f aca="false">227.45/95*Notas!$B$3</f>
        <v>227.45</v>
      </c>
      <c r="J245" s="17" t="n">
        <f aca="false">227.45/95*Notas!$B$3</f>
        <v>227.45</v>
      </c>
    </row>
    <row r="246" customFormat="false" ht="15" hidden="false" customHeight="false" outlineLevel="0" collapsed="false">
      <c r="A246" s="13" t="s">
        <v>231</v>
      </c>
      <c r="B246" s="13" t="n">
        <v>47</v>
      </c>
      <c r="C246" s="17" t="n">
        <f aca="false">B246/100*Notas!$B$3</f>
        <v>44.65</v>
      </c>
      <c r="D246" s="17" t="n">
        <f aca="false">78.92/95*Notas!$B$3</f>
        <v>78.92</v>
      </c>
      <c r="E246" s="17" t="n">
        <f aca="false">16.81/95*Notas!$B$3</f>
        <v>16.81</v>
      </c>
      <c r="F246" s="13" t="n">
        <v>1</v>
      </c>
      <c r="G246" s="17" t="n">
        <f aca="false">78.92/95*Notas!$B$3</f>
        <v>78.92</v>
      </c>
      <c r="H246" s="17" t="n">
        <f aca="false">16.81/95*Notas!$B$3</f>
        <v>16.81</v>
      </c>
      <c r="I246" s="17" t="n">
        <f aca="false">207.72/95*Notas!$B$3</f>
        <v>207.72</v>
      </c>
      <c r="J246" s="17" t="n">
        <f aca="false">207.72/95*Notas!$B$3</f>
        <v>207.72</v>
      </c>
    </row>
    <row r="247" customFormat="false" ht="15" hidden="false" customHeight="false" outlineLevel="0" collapsed="false">
      <c r="A247" s="13" t="s">
        <v>231</v>
      </c>
      <c r="B247" s="13" t="n">
        <v>48</v>
      </c>
      <c r="C247" s="17" t="n">
        <f aca="false">B247/100*Notas!$B$3</f>
        <v>45.6</v>
      </c>
      <c r="D247" s="17" t="n">
        <f aca="false">78.77/95*Notas!$B$3</f>
        <v>78.77</v>
      </c>
      <c r="E247" s="17" t="n">
        <f aca="false">16.36/95*Notas!$B$3</f>
        <v>16.36</v>
      </c>
      <c r="F247" s="13" t="n">
        <v>1</v>
      </c>
      <c r="G247" s="17" t="n">
        <f aca="false">78.77/95*Notas!$B$3</f>
        <v>78.77</v>
      </c>
      <c r="H247" s="17" t="n">
        <f aca="false">16.36/95*Notas!$B$3</f>
        <v>16.36</v>
      </c>
      <c r="I247" s="17" t="n">
        <f aca="false">199.96/95*Notas!$B$3</f>
        <v>199.96</v>
      </c>
      <c r="J247" s="17" t="n">
        <f aca="false">199.96/95*Notas!$B$3</f>
        <v>199.96</v>
      </c>
    </row>
    <row r="248" customFormat="false" ht="15" hidden="false" customHeight="false" outlineLevel="0" collapsed="false">
      <c r="A248" s="13" t="s">
        <v>231</v>
      </c>
      <c r="B248" s="13" t="n">
        <v>49</v>
      </c>
      <c r="C248" s="17" t="n">
        <f aca="false">B248/100*Notas!$B$3</f>
        <v>46.55</v>
      </c>
      <c r="D248" s="17" t="n">
        <f aca="false">75.79/95*Notas!$B$3</f>
        <v>75.79</v>
      </c>
      <c r="E248" s="17" t="n">
        <f aca="false">15.92/95*Notas!$B$3</f>
        <v>15.92</v>
      </c>
      <c r="F248" s="13" t="n">
        <v>1</v>
      </c>
      <c r="G248" s="17" t="n">
        <f aca="false">75.79/95*Notas!$B$3</f>
        <v>75.79</v>
      </c>
      <c r="H248" s="17" t="n">
        <f aca="false">15.92/95*Notas!$B$3</f>
        <v>15.92</v>
      </c>
      <c r="I248" s="17" t="n">
        <f aca="false">192.26/95*Notas!$B$3</f>
        <v>192.26</v>
      </c>
      <c r="J248" s="17" t="n">
        <f aca="false">192.26/95*Notas!$B$3</f>
        <v>192.26</v>
      </c>
    </row>
    <row r="249" customFormat="false" ht="15" hidden="false" customHeight="false" outlineLevel="0" collapsed="false">
      <c r="A249" s="13" t="s">
        <v>231</v>
      </c>
      <c r="B249" s="13" t="n">
        <v>50</v>
      </c>
      <c r="C249" s="17" t="n">
        <f aca="false">B249/100*Notas!$B$3</f>
        <v>47.5</v>
      </c>
      <c r="D249" s="17" t="n">
        <f aca="false">69.24/95*Notas!$B$3</f>
        <v>69.24</v>
      </c>
      <c r="E249" s="17" t="n">
        <f aca="false">15.33/95*Notas!$B$3</f>
        <v>15.33</v>
      </c>
      <c r="F249" s="13" t="n">
        <v>1</v>
      </c>
      <c r="G249" s="17" t="n">
        <f aca="false">69.24/95*Notas!$B$3</f>
        <v>69.24</v>
      </c>
      <c r="H249" s="17" t="n">
        <f aca="false">15.33/95*Notas!$B$3</f>
        <v>15.33</v>
      </c>
      <c r="I249" s="17" t="n">
        <f aca="false">180.04/95*Notas!$B$3</f>
        <v>180.04</v>
      </c>
      <c r="J249" s="17" t="n">
        <f aca="false">180.04/95*Notas!$B$3</f>
        <v>180.04</v>
      </c>
    </row>
    <row r="250" customFormat="false" ht="15" hidden="false" customHeight="false" outlineLevel="0" collapsed="false">
      <c r="A250" s="13" t="s">
        <v>231</v>
      </c>
      <c r="B250" s="13" t="n">
        <v>51</v>
      </c>
      <c r="C250" s="17" t="n">
        <f aca="false">B250/100*Notas!$B$3</f>
        <v>48.45</v>
      </c>
      <c r="D250" s="17" t="n">
        <f aca="false">55.56/95*Notas!$B$3</f>
        <v>55.56</v>
      </c>
      <c r="E250" s="17" t="n">
        <f aca="false">13.48/95*Notas!$B$3</f>
        <v>13.48</v>
      </c>
      <c r="F250" s="13" t="n">
        <v>1</v>
      </c>
      <c r="G250" s="17" t="n">
        <f aca="false">55.56/95*Notas!$B$3</f>
        <v>55.56</v>
      </c>
      <c r="H250" s="17" t="n">
        <f aca="false">13.48/95*Notas!$B$3</f>
        <v>13.48</v>
      </c>
      <c r="I250" s="17" t="n">
        <f aca="false">147.35/95*Notas!$B$3</f>
        <v>147.35</v>
      </c>
      <c r="J250" s="17" t="n">
        <f aca="false">147.35/95*Notas!$B$3</f>
        <v>147.35</v>
      </c>
    </row>
    <row r="251" customFormat="false" ht="15" hidden="false" customHeight="false" outlineLevel="0" collapsed="false">
      <c r="A251" s="13" t="s">
        <v>231</v>
      </c>
      <c r="B251" s="13" t="n">
        <v>52</v>
      </c>
      <c r="C251" s="17" t="n">
        <f aca="false">B251/100*Notas!$B$3</f>
        <v>49.4</v>
      </c>
      <c r="D251" s="17" t="n">
        <f aca="false">52.52/95*Notas!$B$3</f>
        <v>52.52</v>
      </c>
      <c r="E251" s="17" t="n">
        <f aca="false">11.27/95*Notas!$B$3</f>
        <v>11.27</v>
      </c>
      <c r="F251" s="13" t="n">
        <v>1</v>
      </c>
      <c r="G251" s="17" t="n">
        <f aca="false">52.52/95*Notas!$B$3</f>
        <v>52.52</v>
      </c>
      <c r="H251" s="17" t="n">
        <f aca="false">11.27/95*Notas!$B$3</f>
        <v>11.27</v>
      </c>
      <c r="I251" s="17" t="n">
        <f aca="false">139.6/95*Notas!$B$3</f>
        <v>139.6</v>
      </c>
      <c r="J251" s="17" t="n">
        <f aca="false">139.6/95*Notas!$B$3</f>
        <v>139.6</v>
      </c>
    </row>
    <row r="252" customFormat="false" ht="15" hidden="false" customHeight="false" outlineLevel="0" collapsed="false">
      <c r="A252" s="13" t="s">
        <v>231</v>
      </c>
      <c r="B252" s="13" t="n">
        <v>53</v>
      </c>
      <c r="C252" s="17" t="n">
        <f aca="false">B252/100*Notas!$B$3</f>
        <v>50.35</v>
      </c>
      <c r="D252" s="17" t="n">
        <f aca="false">52.12/95*Notas!$B$3</f>
        <v>52.12</v>
      </c>
      <c r="E252" s="17" t="n">
        <f aca="false">10/95*Notas!$B$3</f>
        <v>10</v>
      </c>
      <c r="F252" s="13" t="n">
        <v>2</v>
      </c>
      <c r="G252" s="17" t="n">
        <f aca="false">52.12/95*Notas!$B$3</f>
        <v>52.12</v>
      </c>
      <c r="H252" s="17" t="n">
        <f aca="false">10/95*Notas!$B$3</f>
        <v>10</v>
      </c>
      <c r="I252" s="17" t="n">
        <f aca="false">144.1/95*Notas!$B$3</f>
        <v>144.1</v>
      </c>
      <c r="J252" s="17" t="n">
        <f aca="false">148.92/95*Notas!$B$3</f>
        <v>148.92</v>
      </c>
    </row>
    <row r="253" customFormat="false" ht="15" hidden="false" customHeight="false" outlineLevel="0" collapsed="false">
      <c r="A253" s="13" t="s">
        <v>231</v>
      </c>
      <c r="B253" s="13" t="n">
        <v>54</v>
      </c>
      <c r="C253" s="17" t="n">
        <f aca="false">B253/100*Notas!$B$3</f>
        <v>51.3</v>
      </c>
      <c r="D253" s="17" t="n">
        <f aca="false">40.06/95*Notas!$B$3</f>
        <v>40.06</v>
      </c>
      <c r="E253" s="17" t="n">
        <f aca="false">17.96/95*Notas!$B$3</f>
        <v>17.96</v>
      </c>
      <c r="F253" s="13" t="n">
        <v>7</v>
      </c>
      <c r="G253" s="17" t="n">
        <f aca="false">8.41/95*Notas!$B$3</f>
        <v>8.41</v>
      </c>
      <c r="H253" s="17" t="n">
        <f aca="false">9.1/95*Notas!$B$3</f>
        <v>9.1</v>
      </c>
      <c r="I253" s="17" t="n">
        <f aca="false">28.86/95*Notas!$B$3</f>
        <v>28.86</v>
      </c>
      <c r="J253" s="17" t="n">
        <f aca="false">104.16/95*Notas!$B$3</f>
        <v>104.16</v>
      </c>
    </row>
    <row r="254" customFormat="false" ht="15" hidden="false" customHeight="false" outlineLevel="0" collapsed="false">
      <c r="A254" s="13" t="s">
        <v>231</v>
      </c>
      <c r="B254" s="13" t="n">
        <v>55</v>
      </c>
      <c r="C254" s="17" t="n">
        <f aca="false">B254/100*Notas!$B$3</f>
        <v>52.25</v>
      </c>
      <c r="D254" s="17" t="n">
        <f aca="false">19.02/95*Notas!$B$3</f>
        <v>19.02</v>
      </c>
      <c r="E254" s="17" t="n">
        <f aca="false">18.5/95*Notas!$B$3</f>
        <v>18.5</v>
      </c>
      <c r="F254" s="13" t="n">
        <v>1</v>
      </c>
      <c r="G254" s="17" t="n">
        <f aca="false">19.02/95*Notas!$B$3</f>
        <v>19.02</v>
      </c>
      <c r="H254" s="17" t="n">
        <f aca="false">18.5/95*Notas!$B$3</f>
        <v>18.5</v>
      </c>
      <c r="I254" s="17" t="n">
        <f aca="false">62.84/95*Notas!$B$3</f>
        <v>62.84</v>
      </c>
      <c r="J254" s="17" t="n">
        <f aca="false">62.84/95*Notas!$B$3</f>
        <v>62.84</v>
      </c>
    </row>
    <row r="255" customFormat="false" ht="15" hidden="false" customHeight="false" outlineLevel="0" collapsed="false">
      <c r="A255" s="13" t="s">
        <v>231</v>
      </c>
      <c r="B255" s="13" t="n">
        <v>56</v>
      </c>
      <c r="C255" s="17" t="n">
        <f aca="false">B255/100*Notas!$B$3</f>
        <v>53.2</v>
      </c>
      <c r="D255" s="17" t="n">
        <f aca="false">20.21/95*Notas!$B$3</f>
        <v>20.21</v>
      </c>
      <c r="E255" s="17" t="n">
        <f aca="false">25.19/95*Notas!$B$3</f>
        <v>25.19</v>
      </c>
      <c r="F255" s="13" t="n">
        <v>1</v>
      </c>
      <c r="G255" s="17" t="n">
        <f aca="false">20.21/95*Notas!$B$3</f>
        <v>20.21</v>
      </c>
      <c r="H255" s="17" t="n">
        <f aca="false">25.19/95*Notas!$B$3</f>
        <v>25.19</v>
      </c>
      <c r="I255" s="17" t="n">
        <f aca="false">76.99/95*Notas!$B$3</f>
        <v>76.99</v>
      </c>
      <c r="J255" s="17" t="n">
        <f aca="false">76.99/95*Notas!$B$3</f>
        <v>76.99</v>
      </c>
    </row>
    <row r="256" customFormat="false" ht="15" hidden="false" customHeight="false" outlineLevel="0" collapsed="false">
      <c r="A256" s="13" t="s">
        <v>231</v>
      </c>
      <c r="B256" s="13" t="n">
        <v>57</v>
      </c>
      <c r="C256" s="17" t="n">
        <f aca="false">B256/100*Notas!$B$3</f>
        <v>54.15</v>
      </c>
      <c r="D256" s="17" t="n">
        <f aca="false">25.9/95*Notas!$B$3</f>
        <v>25.9</v>
      </c>
      <c r="E256" s="17" t="n">
        <f aca="false">26.09/95*Notas!$B$3</f>
        <v>26.09</v>
      </c>
      <c r="F256" s="13" t="n">
        <v>2</v>
      </c>
      <c r="G256" s="17" t="n">
        <f aca="false">21.66/95*Notas!$B$3</f>
        <v>21.66</v>
      </c>
      <c r="H256" s="17" t="n">
        <f aca="false">26.09/95*Notas!$B$3</f>
        <v>26.09</v>
      </c>
      <c r="I256" s="17" t="n">
        <f aca="false">81.9/95*Notas!$B$3</f>
        <v>81.9</v>
      </c>
      <c r="J256" s="17" t="n">
        <f aca="false">85.71/95*Notas!$B$3</f>
        <v>85.71</v>
      </c>
    </row>
    <row r="257" customFormat="false" ht="15" hidden="false" customHeight="false" outlineLevel="0" collapsed="false">
      <c r="A257" s="13" t="s">
        <v>231</v>
      </c>
      <c r="B257" s="13" t="n">
        <v>58</v>
      </c>
      <c r="C257" s="17" t="n">
        <f aca="false">B257/100*Notas!$B$3</f>
        <v>55.1</v>
      </c>
      <c r="D257" s="17" t="n">
        <f aca="false">27.34/95*Notas!$B$3</f>
        <v>27.34</v>
      </c>
      <c r="E257" s="17" t="n">
        <f aca="false">26.82/95*Notas!$B$3</f>
        <v>26.82</v>
      </c>
      <c r="F257" s="13" t="n">
        <v>2</v>
      </c>
      <c r="G257" s="17" t="n">
        <f aca="false">23.35/95*Notas!$B$3</f>
        <v>23.35</v>
      </c>
      <c r="H257" s="17" t="n">
        <f aca="false">26.82/95*Notas!$B$3</f>
        <v>26.82</v>
      </c>
      <c r="I257" s="17" t="n">
        <f aca="false">84.15/95*Notas!$B$3</f>
        <v>84.15</v>
      </c>
      <c r="J257" s="17" t="n">
        <f aca="false">89.81/95*Notas!$B$3</f>
        <v>89.81</v>
      </c>
    </row>
    <row r="258" customFormat="false" ht="15" hidden="false" customHeight="false" outlineLevel="0" collapsed="false">
      <c r="A258" s="13" t="s">
        <v>231</v>
      </c>
      <c r="B258" s="13" t="n">
        <v>59</v>
      </c>
      <c r="C258" s="17" t="n">
        <f aca="false">B258/100*Notas!$B$3</f>
        <v>56.05</v>
      </c>
      <c r="D258" s="17" t="n">
        <f aca="false">29.38/95*Notas!$B$3</f>
        <v>29.38</v>
      </c>
      <c r="E258" s="17" t="n">
        <f aca="false">27.58/95*Notas!$B$3</f>
        <v>27.58</v>
      </c>
      <c r="F258" s="13" t="n">
        <v>3</v>
      </c>
      <c r="G258" s="17" t="n">
        <f aca="false">25.17/95*Notas!$B$3</f>
        <v>25.17</v>
      </c>
      <c r="H258" s="17" t="n">
        <f aca="false">27.58/95*Notas!$B$3</f>
        <v>27.58</v>
      </c>
      <c r="I258" s="17" t="n">
        <f aca="false">86.78/95*Notas!$B$3</f>
        <v>86.78</v>
      </c>
      <c r="J258" s="17" t="n">
        <f aca="false">96.36/95*Notas!$B$3</f>
        <v>96.36</v>
      </c>
    </row>
    <row r="259" customFormat="false" ht="15" hidden="false" customHeight="false" outlineLevel="0" collapsed="false">
      <c r="A259" s="13" t="s">
        <v>231</v>
      </c>
      <c r="B259" s="13" t="n">
        <v>60</v>
      </c>
      <c r="C259" s="17" t="n">
        <f aca="false">B259/100*Notas!$B$3</f>
        <v>57</v>
      </c>
      <c r="D259" s="17" t="n">
        <f aca="false">40.4/95*Notas!$B$3</f>
        <v>40.4</v>
      </c>
      <c r="E259" s="17" t="n">
        <f aca="false">28.01/95*Notas!$B$3</f>
        <v>28.01</v>
      </c>
      <c r="F259" s="13" t="n">
        <v>3</v>
      </c>
      <c r="G259" s="17" t="n">
        <f aca="false">40.4/95*Notas!$B$3</f>
        <v>40.4</v>
      </c>
      <c r="H259" s="17" t="n">
        <f aca="false">28.01/95*Notas!$B$3</f>
        <v>28.01</v>
      </c>
      <c r="I259" s="17" t="n">
        <f aca="false">113.78/95*Notas!$B$3</f>
        <v>113.78</v>
      </c>
      <c r="J259" s="17" t="n">
        <f aca="false">127.19/95*Notas!$B$3</f>
        <v>127.19</v>
      </c>
    </row>
    <row r="260" customFormat="false" ht="15" hidden="false" customHeight="false" outlineLevel="0" collapsed="false">
      <c r="A260" s="13" t="s">
        <v>231</v>
      </c>
      <c r="B260" s="13" t="n">
        <v>61</v>
      </c>
      <c r="C260" s="17" t="n">
        <f aca="false">B260/100*Notas!$B$3</f>
        <v>57.95</v>
      </c>
      <c r="D260" s="17" t="n">
        <f aca="false">43.92/95*Notas!$B$3</f>
        <v>43.92</v>
      </c>
      <c r="E260" s="17" t="n">
        <f aca="false">31.94/95*Notas!$B$3</f>
        <v>31.94</v>
      </c>
      <c r="F260" s="13" t="n">
        <v>4</v>
      </c>
      <c r="G260" s="17" t="n">
        <f aca="false">1.9/95*Notas!$B$3</f>
        <v>1.9</v>
      </c>
      <c r="H260" s="17" t="n">
        <f aca="false">2.05/95*Notas!$B$3</f>
        <v>2.05</v>
      </c>
      <c r="I260" s="17" t="n">
        <f aca="false">6.15/95*Notas!$B$3</f>
        <v>6.15</v>
      </c>
      <c r="J260" s="17" t="n">
        <f aca="false">145.56/95*Notas!$B$3</f>
        <v>145.56</v>
      </c>
    </row>
    <row r="261" customFormat="false" ht="15" hidden="false" customHeight="false" outlineLevel="0" collapsed="false">
      <c r="A261" s="13" t="s">
        <v>231</v>
      </c>
      <c r="B261" s="13" t="n">
        <v>62</v>
      </c>
      <c r="C261" s="17" t="n">
        <f aca="false">B261/100*Notas!$B$3</f>
        <v>58.9</v>
      </c>
      <c r="D261" s="17" t="n">
        <f aca="false">44.46/95*Notas!$B$3</f>
        <v>44.46</v>
      </c>
      <c r="E261" s="17" t="n">
        <f aca="false">32.32/95*Notas!$B$3</f>
        <v>32.32</v>
      </c>
      <c r="F261" s="13" t="n">
        <v>4</v>
      </c>
      <c r="G261" s="17" t="n">
        <f aca="false">44.46/95*Notas!$B$3</f>
        <v>44.46</v>
      </c>
      <c r="H261" s="17" t="n">
        <f aca="false">32.32/95*Notas!$B$3</f>
        <v>32.32</v>
      </c>
      <c r="I261" s="17" t="n">
        <f aca="false">135.32/95*Notas!$B$3</f>
        <v>135.32</v>
      </c>
      <c r="J261" s="17" t="n">
        <f aca="false">160.1/95*Notas!$B$3</f>
        <v>160.1</v>
      </c>
    </row>
    <row r="262" customFormat="false" ht="15" hidden="false" customHeight="false" outlineLevel="0" collapsed="false">
      <c r="A262" s="13" t="s">
        <v>231</v>
      </c>
      <c r="B262" s="13" t="n">
        <v>63</v>
      </c>
      <c r="C262" s="17" t="n">
        <f aca="false">B262/100*Notas!$B$3</f>
        <v>59.85</v>
      </c>
      <c r="D262" s="17" t="n">
        <f aca="false">44.47/95*Notas!$B$3</f>
        <v>44.47</v>
      </c>
      <c r="E262" s="17" t="n">
        <f aca="false">32.79/95*Notas!$B$3</f>
        <v>32.79</v>
      </c>
      <c r="F262" s="13" t="n">
        <v>4</v>
      </c>
      <c r="G262" s="17" t="n">
        <f aca="false">44.47/95*Notas!$B$3</f>
        <v>44.47</v>
      </c>
      <c r="H262" s="17" t="n">
        <f aca="false">32.71/95*Notas!$B$3</f>
        <v>32.71</v>
      </c>
      <c r="I262" s="17" t="n">
        <f aca="false">136.39/95*Notas!$B$3</f>
        <v>136.39</v>
      </c>
      <c r="J262" s="17" t="n">
        <f aca="false">168.82/95*Notas!$B$3</f>
        <v>168.82</v>
      </c>
    </row>
    <row r="263" customFormat="false" ht="15" hidden="false" customHeight="false" outlineLevel="0" collapsed="false">
      <c r="A263" s="13" t="s">
        <v>231</v>
      </c>
      <c r="B263" s="13" t="n">
        <v>64</v>
      </c>
      <c r="C263" s="17" t="n">
        <f aca="false">B263/100*Notas!$B$3</f>
        <v>60.8</v>
      </c>
      <c r="D263" s="17" t="n">
        <f aca="false">44.48/95*Notas!$B$3</f>
        <v>44.48</v>
      </c>
      <c r="E263" s="17" t="n">
        <f aca="false">33.57/95*Notas!$B$3</f>
        <v>33.57</v>
      </c>
      <c r="F263" s="13" t="n">
        <v>3</v>
      </c>
      <c r="G263" s="17" t="n">
        <f aca="false">44.48/95*Notas!$B$3</f>
        <v>44.48</v>
      </c>
      <c r="H263" s="17" t="n">
        <f aca="false">33.13/95*Notas!$B$3</f>
        <v>33.13</v>
      </c>
      <c r="I263" s="17" t="n">
        <f aca="false">144.15/95*Notas!$B$3</f>
        <v>144.15</v>
      </c>
      <c r="J263" s="17" t="n">
        <f aca="false">171.66/95*Notas!$B$3</f>
        <v>171.66</v>
      </c>
    </row>
    <row r="264" customFormat="false" ht="15" hidden="false" customHeight="false" outlineLevel="0" collapsed="false">
      <c r="A264" s="13" t="s">
        <v>231</v>
      </c>
      <c r="B264" s="13" t="n">
        <v>65</v>
      </c>
      <c r="C264" s="17" t="n">
        <f aca="false">B264/100*Notas!$B$3</f>
        <v>61.75</v>
      </c>
      <c r="D264" s="17" t="n">
        <f aca="false">44.46/95*Notas!$B$3</f>
        <v>44.46</v>
      </c>
      <c r="E264" s="17" t="n">
        <f aca="false">35.35/95*Notas!$B$3</f>
        <v>35.35</v>
      </c>
      <c r="F264" s="13" t="n">
        <v>3</v>
      </c>
      <c r="G264" s="17" t="n">
        <f aca="false">44.46/95*Notas!$B$3</f>
        <v>44.46</v>
      </c>
      <c r="H264" s="17" t="n">
        <f aca="false">35.35/95*Notas!$B$3</f>
        <v>35.35</v>
      </c>
      <c r="I264" s="17" t="n">
        <f aca="false">145/95*Notas!$B$3</f>
        <v>145</v>
      </c>
      <c r="J264" s="17" t="n">
        <f aca="false">175.29/95*Notas!$B$3</f>
        <v>175.29</v>
      </c>
    </row>
    <row r="265" customFormat="false" ht="15" hidden="false" customHeight="false" outlineLevel="0" collapsed="false">
      <c r="A265" s="13" t="s">
        <v>231</v>
      </c>
      <c r="B265" s="13" t="n">
        <v>66</v>
      </c>
      <c r="C265" s="17" t="n">
        <f aca="false">B265/100*Notas!$B$3</f>
        <v>62.7</v>
      </c>
      <c r="D265" s="17" t="n">
        <f aca="false">44.44/95*Notas!$B$3</f>
        <v>44.44</v>
      </c>
      <c r="E265" s="17" t="n">
        <f aca="false">38.88/95*Notas!$B$3</f>
        <v>38.88</v>
      </c>
      <c r="F265" s="13" t="n">
        <v>3</v>
      </c>
      <c r="G265" s="17" t="n">
        <f aca="false">44.44/95*Notas!$B$3</f>
        <v>44.44</v>
      </c>
      <c r="H265" s="17" t="n">
        <f aca="false">38.88/95*Notas!$B$3</f>
        <v>38.88</v>
      </c>
      <c r="I265" s="17" t="n">
        <f aca="false">149.46/95*Notas!$B$3</f>
        <v>149.46</v>
      </c>
      <c r="J265" s="17" t="n">
        <f aca="false">183.83/95*Notas!$B$3</f>
        <v>183.83</v>
      </c>
    </row>
    <row r="266" customFormat="false" ht="15" hidden="false" customHeight="false" outlineLevel="0" collapsed="false">
      <c r="A266" s="13" t="s">
        <v>231</v>
      </c>
      <c r="B266" s="13" t="n">
        <v>67</v>
      </c>
      <c r="C266" s="17" t="n">
        <f aca="false">B266/100*Notas!$B$3</f>
        <v>63.65</v>
      </c>
      <c r="D266" s="17" t="n">
        <f aca="false">44.39/95*Notas!$B$3</f>
        <v>44.39</v>
      </c>
      <c r="E266" s="17" t="n">
        <f aca="false">39.84/95*Notas!$B$3</f>
        <v>39.84</v>
      </c>
      <c r="F266" s="13" t="n">
        <v>3</v>
      </c>
      <c r="G266" s="17" t="n">
        <f aca="false">44.39/95*Notas!$B$3</f>
        <v>44.39</v>
      </c>
      <c r="H266" s="17" t="n">
        <f aca="false">39.84/95*Notas!$B$3</f>
        <v>39.84</v>
      </c>
      <c r="I266" s="17" t="n">
        <f aca="false">149.67/95*Notas!$B$3</f>
        <v>149.67</v>
      </c>
      <c r="J266" s="17" t="n">
        <f aca="false">188.1/95*Notas!$B$3</f>
        <v>188.1</v>
      </c>
    </row>
    <row r="267" customFormat="false" ht="15" hidden="false" customHeight="false" outlineLevel="0" collapsed="false">
      <c r="A267" s="13" t="s">
        <v>231</v>
      </c>
      <c r="B267" s="13" t="n">
        <v>68</v>
      </c>
      <c r="C267" s="17" t="n">
        <f aca="false">B267/100*Notas!$B$3</f>
        <v>64.6</v>
      </c>
      <c r="D267" s="17" t="n">
        <f aca="false">44.33/95*Notas!$B$3</f>
        <v>44.33</v>
      </c>
      <c r="E267" s="17" t="n">
        <f aca="false">40.07/95*Notas!$B$3</f>
        <v>40.07</v>
      </c>
      <c r="F267" s="13" t="n">
        <v>3</v>
      </c>
      <c r="G267" s="17" t="n">
        <f aca="false">44.33/95*Notas!$B$3</f>
        <v>44.33</v>
      </c>
      <c r="H267" s="17" t="n">
        <f aca="false">40.07/95*Notas!$B$3</f>
        <v>40.07</v>
      </c>
      <c r="I267" s="17" t="n">
        <f aca="false">148.83/95*Notas!$B$3</f>
        <v>148.83</v>
      </c>
      <c r="J267" s="17" t="n">
        <f aca="false">194.47/95*Notas!$B$3</f>
        <v>194.47</v>
      </c>
    </row>
    <row r="268" customFormat="false" ht="15" hidden="false" customHeight="false" outlineLevel="0" collapsed="false">
      <c r="A268" s="13" t="s">
        <v>231</v>
      </c>
      <c r="B268" s="13" t="n">
        <v>69</v>
      </c>
      <c r="C268" s="17" t="n">
        <f aca="false">B268/100*Notas!$B$3</f>
        <v>65.55</v>
      </c>
      <c r="D268" s="17" t="n">
        <f aca="false">44.28/95*Notas!$B$3</f>
        <v>44.28</v>
      </c>
      <c r="E268" s="17" t="n">
        <f aca="false">40.29/95*Notas!$B$3</f>
        <v>40.29</v>
      </c>
      <c r="F268" s="13" t="n">
        <v>3</v>
      </c>
      <c r="G268" s="17" t="n">
        <f aca="false">44.28/95*Notas!$B$3</f>
        <v>44.28</v>
      </c>
      <c r="H268" s="17" t="n">
        <f aca="false">40.29/95*Notas!$B$3</f>
        <v>40.29</v>
      </c>
      <c r="I268" s="17" t="n">
        <f aca="false">156.24/95*Notas!$B$3</f>
        <v>156.24</v>
      </c>
      <c r="J268" s="17" t="n">
        <f aca="false">205.98/95*Notas!$B$3</f>
        <v>205.98</v>
      </c>
    </row>
    <row r="269" customFormat="false" ht="15" hidden="false" customHeight="false" outlineLevel="0" collapsed="false">
      <c r="A269" s="13" t="s">
        <v>231</v>
      </c>
      <c r="B269" s="13" t="n">
        <v>70</v>
      </c>
      <c r="C269" s="17" t="n">
        <f aca="false">B269/100*Notas!$B$3</f>
        <v>66.5</v>
      </c>
      <c r="D269" s="17" t="n">
        <f aca="false">37.89/95*Notas!$B$3</f>
        <v>37.89</v>
      </c>
      <c r="E269" s="17" t="n">
        <f aca="false">40.34/95*Notas!$B$3</f>
        <v>40.34</v>
      </c>
      <c r="F269" s="13" t="n">
        <v>2</v>
      </c>
      <c r="G269" s="17" t="n">
        <f aca="false">37.89/95*Notas!$B$3</f>
        <v>37.89</v>
      </c>
      <c r="H269" s="17" t="n">
        <f aca="false">40.34/95*Notas!$B$3</f>
        <v>40.34</v>
      </c>
      <c r="I269" s="17" t="n">
        <f aca="false">167.47/95*Notas!$B$3</f>
        <v>167.47</v>
      </c>
      <c r="J269" s="17" t="n">
        <f aca="false">188.17/95*Notas!$B$3</f>
        <v>188.17</v>
      </c>
    </row>
    <row r="270" customFormat="false" ht="15" hidden="false" customHeight="false" outlineLevel="0" collapsed="false">
      <c r="A270" s="13" t="s">
        <v>231</v>
      </c>
      <c r="B270" s="13" t="n">
        <v>71</v>
      </c>
      <c r="C270" s="17" t="n">
        <f aca="false">B270/100*Notas!$B$3</f>
        <v>67.45</v>
      </c>
      <c r="D270" s="17" t="n">
        <f aca="false">37.8/95*Notas!$B$3</f>
        <v>37.8</v>
      </c>
      <c r="E270" s="17" t="n">
        <f aca="false">37.85/95*Notas!$B$3</f>
        <v>37.85</v>
      </c>
      <c r="F270" s="13" t="n">
        <v>2</v>
      </c>
      <c r="G270" s="17" t="n">
        <f aca="false">37.74/95*Notas!$B$3</f>
        <v>37.74</v>
      </c>
      <c r="H270" s="17" t="n">
        <f aca="false">37.85/95*Notas!$B$3</f>
        <v>37.85</v>
      </c>
      <c r="I270" s="17" t="n">
        <f aca="false">149.69/95*Notas!$B$3</f>
        <v>149.69</v>
      </c>
      <c r="J270" s="17" t="n">
        <f aca="false">171.42/95*Notas!$B$3</f>
        <v>171.42</v>
      </c>
    </row>
    <row r="271" customFormat="false" ht="15" hidden="false" customHeight="false" outlineLevel="0" collapsed="false">
      <c r="A271" s="13" t="s">
        <v>231</v>
      </c>
      <c r="B271" s="13" t="n">
        <v>72</v>
      </c>
      <c r="C271" s="17" t="n">
        <f aca="false">B271/100*Notas!$B$3</f>
        <v>68.4</v>
      </c>
      <c r="D271" s="17" t="n">
        <f aca="false">38.19/95*Notas!$B$3</f>
        <v>38.19</v>
      </c>
      <c r="E271" s="17" t="n">
        <f aca="false">38.26/95*Notas!$B$3</f>
        <v>38.26</v>
      </c>
      <c r="F271" s="13" t="n">
        <v>3</v>
      </c>
      <c r="G271" s="17" t="n">
        <f aca="false">38.19/95*Notas!$B$3</f>
        <v>38.19</v>
      </c>
      <c r="H271" s="17" t="n">
        <f aca="false">38.16/95*Notas!$B$3</f>
        <v>38.16</v>
      </c>
      <c r="I271" s="17" t="n">
        <f aca="false">139.23/95*Notas!$B$3</f>
        <v>139.23</v>
      </c>
      <c r="J271" s="17" t="n">
        <f aca="false">162.91/95*Notas!$B$3</f>
        <v>162.91</v>
      </c>
    </row>
    <row r="272" customFormat="false" ht="15" hidden="false" customHeight="false" outlineLevel="0" collapsed="false">
      <c r="A272" s="13" t="s">
        <v>231</v>
      </c>
      <c r="B272" s="13" t="n">
        <v>73</v>
      </c>
      <c r="C272" s="17" t="n">
        <f aca="false">B272/100*Notas!$B$3</f>
        <v>69.35</v>
      </c>
      <c r="D272" s="17" t="n">
        <f aca="false">39.61/95*Notas!$B$3</f>
        <v>39.61</v>
      </c>
      <c r="E272" s="17" t="n">
        <f aca="false">38.73/95*Notas!$B$3</f>
        <v>38.73</v>
      </c>
      <c r="F272" s="13" t="n">
        <v>3</v>
      </c>
      <c r="G272" s="17" t="n">
        <f aca="false">39.61/95*Notas!$B$3</f>
        <v>39.61</v>
      </c>
      <c r="H272" s="17" t="n">
        <f aca="false">38.5/95*Notas!$B$3</f>
        <v>38.5</v>
      </c>
      <c r="I272" s="17" t="n">
        <f aca="false">141.12/95*Notas!$B$3</f>
        <v>141.12</v>
      </c>
      <c r="J272" s="17" t="n">
        <f aca="false">172.76/95*Notas!$B$3</f>
        <v>172.76</v>
      </c>
    </row>
    <row r="273" customFormat="false" ht="15" hidden="false" customHeight="false" outlineLevel="0" collapsed="false">
      <c r="A273" s="13" t="s">
        <v>231</v>
      </c>
      <c r="B273" s="13" t="n">
        <v>74</v>
      </c>
      <c r="C273" s="17" t="n">
        <f aca="false">B273/100*Notas!$B$3</f>
        <v>70.3</v>
      </c>
      <c r="D273" s="17" t="n">
        <f aca="false">39.96/95*Notas!$B$3</f>
        <v>39.96</v>
      </c>
      <c r="E273" s="17" t="n">
        <f aca="false">39.11/95*Notas!$B$3</f>
        <v>39.11</v>
      </c>
      <c r="F273" s="13" t="n">
        <v>1</v>
      </c>
      <c r="G273" s="17" t="n">
        <f aca="false">39.96/95*Notas!$B$3</f>
        <v>39.96</v>
      </c>
      <c r="H273" s="17" t="n">
        <f aca="false">39.11/95*Notas!$B$3</f>
        <v>39.11</v>
      </c>
      <c r="I273" s="17" t="n">
        <f aca="false">172.86/95*Notas!$B$3</f>
        <v>172.86</v>
      </c>
      <c r="J273" s="17" t="n">
        <f aca="false">172.86/95*Notas!$B$3</f>
        <v>172.86</v>
      </c>
    </row>
    <row r="274" customFormat="false" ht="15" hidden="false" customHeight="false" outlineLevel="0" collapsed="false">
      <c r="A274" s="13" t="s">
        <v>231</v>
      </c>
      <c r="B274" s="13" t="n">
        <v>75</v>
      </c>
      <c r="C274" s="17" t="n">
        <f aca="false">B274/100*Notas!$B$3</f>
        <v>71.25</v>
      </c>
      <c r="D274" s="17" t="n">
        <f aca="false">39.95/95*Notas!$B$3</f>
        <v>39.95</v>
      </c>
      <c r="E274" s="17" t="n">
        <f aca="false">39.36/95*Notas!$B$3</f>
        <v>39.36</v>
      </c>
      <c r="F274" s="13" t="n">
        <v>1</v>
      </c>
      <c r="G274" s="17" t="n">
        <f aca="false">39.95/95*Notas!$B$3</f>
        <v>39.95</v>
      </c>
      <c r="H274" s="17" t="n">
        <f aca="false">39.36/95*Notas!$B$3</f>
        <v>39.36</v>
      </c>
      <c r="I274" s="17" t="n">
        <f aca="false">169.24/95*Notas!$B$3</f>
        <v>169.24</v>
      </c>
      <c r="J274" s="17" t="n">
        <f aca="false">169.24/95*Notas!$B$3</f>
        <v>169.24</v>
      </c>
    </row>
    <row r="275" customFormat="false" ht="15" hidden="false" customHeight="false" outlineLevel="0" collapsed="false">
      <c r="A275" s="13" t="s">
        <v>231</v>
      </c>
      <c r="B275" s="13" t="n">
        <v>76</v>
      </c>
      <c r="C275" s="17" t="n">
        <f aca="false">B275/100*Notas!$B$3</f>
        <v>72.2</v>
      </c>
      <c r="D275" s="17" t="n">
        <f aca="false">40.12/95*Notas!$B$3</f>
        <v>40.12</v>
      </c>
      <c r="E275" s="17" t="n">
        <f aca="false">39.58/95*Notas!$B$3</f>
        <v>39.58</v>
      </c>
      <c r="F275" s="13" t="n">
        <v>1</v>
      </c>
      <c r="G275" s="17" t="n">
        <f aca="false">40.12/95*Notas!$B$3</f>
        <v>40.12</v>
      </c>
      <c r="H275" s="17" t="n">
        <f aca="false">39.58/95*Notas!$B$3</f>
        <v>39.58</v>
      </c>
      <c r="I275" s="17" t="n">
        <f aca="false">168.35/95*Notas!$B$3</f>
        <v>168.35</v>
      </c>
      <c r="J275" s="17" t="n">
        <f aca="false">168.35/95*Notas!$B$3</f>
        <v>168.35</v>
      </c>
    </row>
    <row r="276" customFormat="false" ht="15" hidden="false" customHeight="false" outlineLevel="0" collapsed="false">
      <c r="A276" s="13" t="s">
        <v>231</v>
      </c>
      <c r="B276" s="13" t="n">
        <v>77</v>
      </c>
      <c r="C276" s="17" t="n">
        <f aca="false">B276/100*Notas!$B$3</f>
        <v>73.15</v>
      </c>
      <c r="D276" s="17" t="n">
        <f aca="false">40.19/95*Notas!$B$3</f>
        <v>40.19</v>
      </c>
      <c r="E276" s="17" t="n">
        <f aca="false">39.77/95*Notas!$B$3</f>
        <v>39.77</v>
      </c>
      <c r="F276" s="13" t="n">
        <v>2</v>
      </c>
      <c r="G276" s="17" t="n">
        <f aca="false">40.19/95*Notas!$B$3</f>
        <v>40.19</v>
      </c>
      <c r="H276" s="17" t="n">
        <f aca="false">39.77/95*Notas!$B$3</f>
        <v>39.77</v>
      </c>
      <c r="I276" s="17" t="n">
        <f aca="false">160.95/95*Notas!$B$3</f>
        <v>160.95</v>
      </c>
      <c r="J276" s="17" t="n">
        <f aca="false">166.75/95*Notas!$B$3</f>
        <v>166.75</v>
      </c>
    </row>
    <row r="277" customFormat="false" ht="15" hidden="false" customHeight="false" outlineLevel="0" collapsed="false">
      <c r="A277" s="13" t="s">
        <v>231</v>
      </c>
      <c r="B277" s="13" t="n">
        <v>78</v>
      </c>
      <c r="C277" s="17" t="n">
        <f aca="false">B277/100*Notas!$B$3</f>
        <v>74.1</v>
      </c>
      <c r="D277" s="17" t="n">
        <f aca="false">40.22/95*Notas!$B$3</f>
        <v>40.22</v>
      </c>
      <c r="E277" s="17" t="n">
        <f aca="false">39.98/95*Notas!$B$3</f>
        <v>39.98</v>
      </c>
      <c r="F277" s="13" t="n">
        <v>1</v>
      </c>
      <c r="G277" s="17" t="n">
        <f aca="false">40.22/95*Notas!$B$3</f>
        <v>40.22</v>
      </c>
      <c r="H277" s="17" t="n">
        <f aca="false">39.98/95*Notas!$B$3</f>
        <v>39.98</v>
      </c>
      <c r="I277" s="17" t="n">
        <f aca="false">159.88/95*Notas!$B$3</f>
        <v>159.88</v>
      </c>
      <c r="J277" s="17" t="n">
        <f aca="false">159.88/95*Notas!$B$3</f>
        <v>159.88</v>
      </c>
    </row>
    <row r="278" customFormat="false" ht="15" hidden="false" customHeight="false" outlineLevel="0" collapsed="false">
      <c r="A278" s="13" t="s">
        <v>231</v>
      </c>
      <c r="B278" s="13" t="n">
        <v>79</v>
      </c>
      <c r="C278" s="17" t="n">
        <f aca="false">B278/100*Notas!$B$3</f>
        <v>75.05</v>
      </c>
      <c r="D278" s="17" t="n">
        <f aca="false">40.62/95*Notas!$B$3</f>
        <v>40.62</v>
      </c>
      <c r="E278" s="17" t="n">
        <f aca="false">40.19/95*Notas!$B$3</f>
        <v>40.19</v>
      </c>
      <c r="F278" s="13" t="n">
        <v>1</v>
      </c>
      <c r="G278" s="17" t="n">
        <f aca="false">40.62/95*Notas!$B$3</f>
        <v>40.62</v>
      </c>
      <c r="H278" s="17" t="n">
        <f aca="false">40.19/95*Notas!$B$3</f>
        <v>40.19</v>
      </c>
      <c r="I278" s="17" t="n">
        <f aca="false">159.07/95*Notas!$B$3</f>
        <v>159.07</v>
      </c>
      <c r="J278" s="17" t="n">
        <f aca="false">159.07/95*Notas!$B$3</f>
        <v>159.07</v>
      </c>
    </row>
    <row r="279" customFormat="false" ht="15" hidden="false" customHeight="false" outlineLevel="0" collapsed="false">
      <c r="A279" s="13" t="s">
        <v>231</v>
      </c>
      <c r="B279" s="13" t="n">
        <v>80</v>
      </c>
      <c r="C279" s="17" t="n">
        <f aca="false">B279/100*Notas!$B$3</f>
        <v>76</v>
      </c>
      <c r="D279" s="17" t="n">
        <f aca="false">41.08/95*Notas!$B$3</f>
        <v>41.08</v>
      </c>
      <c r="E279" s="17" t="n">
        <f aca="false">40.4/95*Notas!$B$3</f>
        <v>40.4</v>
      </c>
      <c r="F279" s="13" t="n">
        <v>1</v>
      </c>
      <c r="G279" s="17" t="n">
        <f aca="false">41.08/95*Notas!$B$3</f>
        <v>41.08</v>
      </c>
      <c r="H279" s="17" t="n">
        <f aca="false">40.4/95*Notas!$B$3</f>
        <v>40.4</v>
      </c>
      <c r="I279" s="17" t="n">
        <f aca="false">159.05/95*Notas!$B$3</f>
        <v>159.05</v>
      </c>
      <c r="J279" s="17" t="n">
        <f aca="false">159.05/95*Notas!$B$3</f>
        <v>159.05</v>
      </c>
    </row>
    <row r="280" customFormat="false" ht="15" hidden="false" customHeight="false" outlineLevel="0" collapsed="false">
      <c r="A280" s="13" t="s">
        <v>231</v>
      </c>
      <c r="B280" s="13" t="n">
        <v>81</v>
      </c>
      <c r="C280" s="17" t="n">
        <f aca="false">B280/100*Notas!$B$3</f>
        <v>76.95</v>
      </c>
      <c r="D280" s="17" t="n">
        <f aca="false">41.45/95*Notas!$B$3</f>
        <v>41.45</v>
      </c>
      <c r="E280" s="17" t="n">
        <f aca="false">40.56/95*Notas!$B$3</f>
        <v>40.56</v>
      </c>
      <c r="F280" s="13" t="n">
        <v>1</v>
      </c>
      <c r="G280" s="17" t="n">
        <f aca="false">41.45/95*Notas!$B$3</f>
        <v>41.45</v>
      </c>
      <c r="H280" s="17" t="n">
        <f aca="false">40.56/95*Notas!$B$3</f>
        <v>40.56</v>
      </c>
      <c r="I280" s="17" t="n">
        <f aca="false">160.2/95*Notas!$B$3</f>
        <v>160.2</v>
      </c>
      <c r="J280" s="17" t="n">
        <f aca="false">160.2/95*Notas!$B$3</f>
        <v>160.2</v>
      </c>
    </row>
    <row r="281" customFormat="false" ht="15" hidden="false" customHeight="false" outlineLevel="0" collapsed="false">
      <c r="A281" s="13" t="s">
        <v>231</v>
      </c>
      <c r="B281" s="13" t="n">
        <v>82</v>
      </c>
      <c r="C281" s="17" t="n">
        <f aca="false">B281/100*Notas!$B$3</f>
        <v>77.9</v>
      </c>
      <c r="D281" s="17" t="n">
        <f aca="false">42.38/95*Notas!$B$3</f>
        <v>42.38</v>
      </c>
      <c r="E281" s="17" t="n">
        <f aca="false">40.7/95*Notas!$B$3</f>
        <v>40.7</v>
      </c>
      <c r="F281" s="13" t="n">
        <v>1</v>
      </c>
      <c r="G281" s="17" t="n">
        <f aca="false">42.38/95*Notas!$B$3</f>
        <v>42.38</v>
      </c>
      <c r="H281" s="17" t="n">
        <f aca="false">40.7/95*Notas!$B$3</f>
        <v>40.7</v>
      </c>
      <c r="I281" s="17" t="n">
        <f aca="false">162.39/95*Notas!$B$3</f>
        <v>162.39</v>
      </c>
      <c r="J281" s="17" t="n">
        <f aca="false">162.39/95*Notas!$B$3</f>
        <v>162.39</v>
      </c>
    </row>
    <row r="282" customFormat="false" ht="15" hidden="false" customHeight="false" outlineLevel="0" collapsed="false">
      <c r="A282" s="13" t="s">
        <v>231</v>
      </c>
      <c r="B282" s="13" t="n">
        <v>83</v>
      </c>
      <c r="C282" s="17" t="n">
        <f aca="false">B282/100*Notas!$B$3</f>
        <v>78.85</v>
      </c>
      <c r="D282" s="17" t="n">
        <f aca="false">41.96/95*Notas!$B$3</f>
        <v>41.96</v>
      </c>
      <c r="E282" s="17" t="n">
        <f aca="false">40.54/95*Notas!$B$3</f>
        <v>40.54</v>
      </c>
      <c r="F282" s="13" t="n">
        <v>1</v>
      </c>
      <c r="G282" s="17" t="n">
        <f aca="false">41.96/95*Notas!$B$3</f>
        <v>41.96</v>
      </c>
      <c r="H282" s="17" t="n">
        <f aca="false">40.54/95*Notas!$B$3</f>
        <v>40.54</v>
      </c>
      <c r="I282" s="17" t="n">
        <f aca="false">159.41/95*Notas!$B$3</f>
        <v>159.41</v>
      </c>
      <c r="J282" s="17" t="n">
        <f aca="false">159.41/95*Notas!$B$3</f>
        <v>159.41</v>
      </c>
    </row>
    <row r="283" customFormat="false" ht="15" hidden="false" customHeight="false" outlineLevel="0" collapsed="false">
      <c r="A283" s="13" t="s">
        <v>231</v>
      </c>
      <c r="B283" s="13" t="n">
        <v>84</v>
      </c>
      <c r="C283" s="17" t="n">
        <f aca="false">B283/100*Notas!$B$3</f>
        <v>79.8</v>
      </c>
      <c r="D283" s="17" t="n">
        <f aca="false">41.1/95*Notas!$B$3</f>
        <v>41.1</v>
      </c>
      <c r="E283" s="17" t="n">
        <f aca="false">40.34/95*Notas!$B$3</f>
        <v>40.34</v>
      </c>
      <c r="F283" s="13" t="n">
        <v>1</v>
      </c>
      <c r="G283" s="17" t="n">
        <f aca="false">41.1/95*Notas!$B$3</f>
        <v>41.1</v>
      </c>
      <c r="H283" s="17" t="n">
        <f aca="false">40.34/95*Notas!$B$3</f>
        <v>40.34</v>
      </c>
      <c r="I283" s="17" t="n">
        <f aca="false">154.78/95*Notas!$B$3</f>
        <v>154.78</v>
      </c>
      <c r="J283" s="17" t="n">
        <f aca="false">154.78/95*Notas!$B$3</f>
        <v>154.78</v>
      </c>
    </row>
    <row r="284" customFormat="false" ht="15" hidden="false" customHeight="false" outlineLevel="0" collapsed="false">
      <c r="A284" s="13" t="s">
        <v>231</v>
      </c>
      <c r="B284" s="13" t="n">
        <v>85</v>
      </c>
      <c r="C284" s="17" t="n">
        <f aca="false">B284/100*Notas!$B$3</f>
        <v>80.75</v>
      </c>
      <c r="D284" s="17" t="n">
        <f aca="false">39.89/95*Notas!$B$3</f>
        <v>39.89</v>
      </c>
      <c r="E284" s="17" t="n">
        <f aca="false">40.19/95*Notas!$B$3</f>
        <v>40.19</v>
      </c>
      <c r="F284" s="13" t="n">
        <v>1</v>
      </c>
      <c r="G284" s="17" t="n">
        <f aca="false">39.89/95*Notas!$B$3</f>
        <v>39.89</v>
      </c>
      <c r="H284" s="17" t="n">
        <f aca="false">40.19/95*Notas!$B$3</f>
        <v>40.19</v>
      </c>
      <c r="I284" s="17" t="n">
        <f aca="false">148.58/95*Notas!$B$3</f>
        <v>148.58</v>
      </c>
      <c r="J284" s="17" t="n">
        <f aca="false">148.58/95*Notas!$B$3</f>
        <v>148.58</v>
      </c>
    </row>
    <row r="285" customFormat="false" ht="15" hidden="false" customHeight="false" outlineLevel="0" collapsed="false">
      <c r="A285" s="13" t="s">
        <v>231</v>
      </c>
      <c r="B285" s="13" t="n">
        <v>86</v>
      </c>
      <c r="C285" s="17" t="n">
        <f aca="false">B285/100*Notas!$B$3</f>
        <v>81.7</v>
      </c>
      <c r="D285" s="17" t="n">
        <f aca="false">38.7/95*Notas!$B$3</f>
        <v>38.7</v>
      </c>
      <c r="E285" s="17" t="n">
        <f aca="false">40.06/95*Notas!$B$3</f>
        <v>40.06</v>
      </c>
      <c r="F285" s="13" t="n">
        <v>1</v>
      </c>
      <c r="G285" s="17" t="n">
        <f aca="false">38.7/95*Notas!$B$3</f>
        <v>38.7</v>
      </c>
      <c r="H285" s="17" t="n">
        <f aca="false">40.06/95*Notas!$B$3</f>
        <v>40.06</v>
      </c>
      <c r="I285" s="17" t="n">
        <f aca="false">142.84/95*Notas!$B$3</f>
        <v>142.84</v>
      </c>
      <c r="J285" s="17" t="n">
        <f aca="false">142.84/95*Notas!$B$3</f>
        <v>142.84</v>
      </c>
    </row>
    <row r="286" customFormat="false" ht="15" hidden="false" customHeight="false" outlineLevel="0" collapsed="false">
      <c r="A286" s="13" t="s">
        <v>231</v>
      </c>
      <c r="B286" s="13" t="n">
        <v>87</v>
      </c>
      <c r="C286" s="17" t="n">
        <f aca="false">B286/100*Notas!$B$3</f>
        <v>82.65</v>
      </c>
      <c r="D286" s="17" t="n">
        <f aca="false">37.6/95*Notas!$B$3</f>
        <v>37.6</v>
      </c>
      <c r="E286" s="17" t="n">
        <f aca="false">39.91/95*Notas!$B$3</f>
        <v>39.91</v>
      </c>
      <c r="F286" s="13" t="n">
        <v>1</v>
      </c>
      <c r="G286" s="17" t="n">
        <f aca="false">37.6/95*Notas!$B$3</f>
        <v>37.6</v>
      </c>
      <c r="H286" s="17" t="n">
        <f aca="false">39.91/95*Notas!$B$3</f>
        <v>39.91</v>
      </c>
      <c r="I286" s="17" t="n">
        <f aca="false">138.04/95*Notas!$B$3</f>
        <v>138.04</v>
      </c>
      <c r="J286" s="17" t="n">
        <f aca="false">138.04/95*Notas!$B$3</f>
        <v>138.04</v>
      </c>
    </row>
    <row r="287" customFormat="false" ht="15" hidden="false" customHeight="false" outlineLevel="0" collapsed="false">
      <c r="A287" s="13" t="s">
        <v>231</v>
      </c>
      <c r="B287" s="13" t="n">
        <v>88</v>
      </c>
      <c r="C287" s="17" t="n">
        <f aca="false">B287/100*Notas!$B$3</f>
        <v>83.6</v>
      </c>
      <c r="D287" s="17" t="n">
        <f aca="false">36.19/95*Notas!$B$3</f>
        <v>36.19</v>
      </c>
      <c r="E287" s="17" t="n">
        <f aca="false">39.67/95*Notas!$B$3</f>
        <v>39.67</v>
      </c>
      <c r="F287" s="13" t="n">
        <v>1</v>
      </c>
      <c r="G287" s="17" t="n">
        <f aca="false">36.19/95*Notas!$B$3</f>
        <v>36.19</v>
      </c>
      <c r="H287" s="17" t="n">
        <f aca="false">39.67/95*Notas!$B$3</f>
        <v>39.67</v>
      </c>
      <c r="I287" s="17" t="n">
        <f aca="false">132.86/95*Notas!$B$3</f>
        <v>132.86</v>
      </c>
      <c r="J287" s="17" t="n">
        <f aca="false">132.86/95*Notas!$B$3</f>
        <v>132.86</v>
      </c>
    </row>
    <row r="288" customFormat="false" ht="15" hidden="false" customHeight="false" outlineLevel="0" collapsed="false">
      <c r="A288" s="13" t="s">
        <v>231</v>
      </c>
      <c r="B288" s="13" t="n">
        <v>89</v>
      </c>
      <c r="C288" s="17" t="n">
        <f aca="false">B288/100*Notas!$B$3</f>
        <v>84.55</v>
      </c>
      <c r="D288" s="17" t="n">
        <f aca="false">34.63/95*Notas!$B$3</f>
        <v>34.63</v>
      </c>
      <c r="E288" s="17" t="n">
        <f aca="false">39.42/95*Notas!$B$3</f>
        <v>39.42</v>
      </c>
      <c r="F288" s="13" t="n">
        <v>1</v>
      </c>
      <c r="G288" s="17" t="n">
        <f aca="false">34.63/95*Notas!$B$3</f>
        <v>34.63</v>
      </c>
      <c r="H288" s="17" t="n">
        <f aca="false">39.42/95*Notas!$B$3</f>
        <v>39.42</v>
      </c>
      <c r="I288" s="17" t="n">
        <f aca="false">131.87/95*Notas!$B$3</f>
        <v>131.87</v>
      </c>
      <c r="J288" s="17" t="n">
        <f aca="false">131.87/95*Notas!$B$3</f>
        <v>131.87</v>
      </c>
    </row>
    <row r="289" customFormat="false" ht="15" hidden="false" customHeight="false" outlineLevel="0" collapsed="false">
      <c r="A289" s="13" t="s">
        <v>231</v>
      </c>
      <c r="B289" s="13" t="n">
        <v>90</v>
      </c>
      <c r="C289" s="17" t="n">
        <f aca="false">B289/100*Notas!$B$3</f>
        <v>85.5</v>
      </c>
      <c r="D289" s="17" t="n">
        <f aca="false">33.01/95*Notas!$B$3</f>
        <v>33.01</v>
      </c>
      <c r="E289" s="17" t="n">
        <f aca="false">39.1/95*Notas!$B$3</f>
        <v>39.1</v>
      </c>
      <c r="F289" s="13" t="n">
        <v>1</v>
      </c>
      <c r="G289" s="17" t="n">
        <f aca="false">33.01/95*Notas!$B$3</f>
        <v>33.01</v>
      </c>
      <c r="H289" s="17" t="n">
        <f aca="false">39.1/95*Notas!$B$3</f>
        <v>39.1</v>
      </c>
      <c r="I289" s="17" t="n">
        <f aca="false">132.89/95*Notas!$B$3</f>
        <v>132.89</v>
      </c>
      <c r="J289" s="17" t="n">
        <f aca="false">132.89/95*Notas!$B$3</f>
        <v>132.89</v>
      </c>
    </row>
    <row r="290" customFormat="false" ht="15" hidden="false" customHeight="false" outlineLevel="0" collapsed="false">
      <c r="A290" s="13" t="s">
        <v>231</v>
      </c>
      <c r="B290" s="13" t="n">
        <v>91</v>
      </c>
      <c r="C290" s="17" t="n">
        <f aca="false">B290/100*Notas!$B$3</f>
        <v>86.45</v>
      </c>
      <c r="D290" s="17" t="n">
        <f aca="false">31.44/95*Notas!$B$3</f>
        <v>31.44</v>
      </c>
      <c r="E290" s="17" t="n">
        <f aca="false">38.39/95*Notas!$B$3</f>
        <v>38.39</v>
      </c>
      <c r="F290" s="13" t="n">
        <v>2</v>
      </c>
      <c r="G290" s="17" t="n">
        <f aca="false">31.44/95*Notas!$B$3</f>
        <v>31.44</v>
      </c>
      <c r="H290" s="17" t="n">
        <f aca="false">38.1/95*Notas!$B$3</f>
        <v>38.1</v>
      </c>
      <c r="I290" s="17" t="n">
        <f aca="false">130.45/95*Notas!$B$3</f>
        <v>130.45</v>
      </c>
      <c r="J290" s="17" t="n">
        <f aca="false">149.16/95*Notas!$B$3</f>
        <v>149.16</v>
      </c>
    </row>
    <row r="291" customFormat="false" ht="15" hidden="false" customHeight="false" outlineLevel="0" collapsed="false">
      <c r="A291" s="13" t="s">
        <v>231</v>
      </c>
      <c r="B291" s="13" t="n">
        <v>92</v>
      </c>
      <c r="C291" s="17" t="n">
        <f aca="false">B291/100*Notas!$B$3</f>
        <v>87.4</v>
      </c>
      <c r="D291" s="17" t="n">
        <f aca="false">29.8/95*Notas!$B$3</f>
        <v>29.8</v>
      </c>
      <c r="E291" s="17" t="n">
        <f aca="false">36.98/95*Notas!$B$3</f>
        <v>36.98</v>
      </c>
      <c r="F291" s="13" t="n">
        <v>1</v>
      </c>
      <c r="G291" s="17" t="n">
        <f aca="false">29.8/95*Notas!$B$3</f>
        <v>29.8</v>
      </c>
      <c r="H291" s="17" t="n">
        <f aca="false">36.98/95*Notas!$B$3</f>
        <v>36.98</v>
      </c>
      <c r="I291" s="17" t="n">
        <f aca="false">128.17/95*Notas!$B$3</f>
        <v>128.17</v>
      </c>
      <c r="J291" s="17" t="n">
        <f aca="false">128.17/95*Notas!$B$3</f>
        <v>128.17</v>
      </c>
    </row>
    <row r="292" customFormat="false" ht="15" hidden="false" customHeight="false" outlineLevel="0" collapsed="false">
      <c r="A292" s="13" t="s">
        <v>231</v>
      </c>
      <c r="B292" s="13" t="n">
        <v>93</v>
      </c>
      <c r="C292" s="17" t="n">
        <f aca="false">B292/100*Notas!$B$3</f>
        <v>88.35</v>
      </c>
      <c r="D292" s="17" t="n">
        <f aca="false">25.06/95*Notas!$B$3</f>
        <v>25.06</v>
      </c>
      <c r="E292" s="17" t="n">
        <f aca="false">35.68/95*Notas!$B$3</f>
        <v>35.68</v>
      </c>
      <c r="F292" s="13" t="n">
        <v>2</v>
      </c>
      <c r="G292" s="17" t="n">
        <f aca="false">25.06/95*Notas!$B$3</f>
        <v>25.06</v>
      </c>
      <c r="H292" s="17" t="n">
        <f aca="false">27.58/95*Notas!$B$3</f>
        <v>27.58</v>
      </c>
      <c r="I292" s="17" t="n">
        <f aca="false">103.77/95*Notas!$B$3</f>
        <v>103.77</v>
      </c>
      <c r="J292" s="17" t="n">
        <f aca="false">132.7/95*Notas!$B$3</f>
        <v>132.7</v>
      </c>
    </row>
    <row r="293" customFormat="false" ht="15" hidden="false" customHeight="false" outlineLevel="0" collapsed="false">
      <c r="A293" s="13" t="s">
        <v>231</v>
      </c>
      <c r="B293" s="13" t="n">
        <v>94</v>
      </c>
      <c r="C293" s="17" t="n">
        <f aca="false">B293/100*Notas!$B$3</f>
        <v>89.3</v>
      </c>
      <c r="D293" s="17" t="n">
        <f aca="false">23.65/95*Notas!$B$3</f>
        <v>23.65</v>
      </c>
      <c r="E293" s="17" t="n">
        <f aca="false">35.09/95*Notas!$B$3</f>
        <v>35.09</v>
      </c>
      <c r="F293" s="13" t="n">
        <v>2</v>
      </c>
      <c r="G293" s="17" t="n">
        <f aca="false">23.65/95*Notas!$B$3</f>
        <v>23.65</v>
      </c>
      <c r="H293" s="17" t="n">
        <f aca="false">26.77/95*Notas!$B$3</f>
        <v>26.77</v>
      </c>
      <c r="I293" s="17" t="n">
        <f aca="false">96.82/95*Notas!$B$3</f>
        <v>96.82</v>
      </c>
      <c r="J293" s="17" t="n">
        <f aca="false">121.45/95*Notas!$B$3</f>
        <v>121.45</v>
      </c>
    </row>
    <row r="294" customFormat="false" ht="15" hidden="false" customHeight="false" outlineLevel="0" collapsed="false">
      <c r="A294" s="13" t="s">
        <v>231</v>
      </c>
      <c r="B294" s="13" t="n">
        <v>95</v>
      </c>
      <c r="C294" s="17" t="n">
        <f aca="false">B294/100*Notas!$B$3</f>
        <v>90.25</v>
      </c>
      <c r="D294" s="17" t="n">
        <f aca="false">19.85/95*Notas!$B$3</f>
        <v>19.85</v>
      </c>
      <c r="E294" s="17" t="n">
        <f aca="false">34.53/95*Notas!$B$3</f>
        <v>34.53</v>
      </c>
      <c r="F294" s="13" t="n">
        <v>2</v>
      </c>
      <c r="G294" s="17" t="n">
        <f aca="false">19.85/95*Notas!$B$3</f>
        <v>19.85</v>
      </c>
      <c r="H294" s="17" t="n">
        <f aca="false">26.12/95*Notas!$B$3</f>
        <v>26.12</v>
      </c>
      <c r="I294" s="17" t="n">
        <f aca="false">86.52/95*Notas!$B$3</f>
        <v>86.52</v>
      </c>
      <c r="J294" s="17" t="n">
        <f aca="false">106.02/95*Notas!$B$3</f>
        <v>106.02</v>
      </c>
    </row>
    <row r="295" customFormat="false" ht="15" hidden="false" customHeight="false" outlineLevel="0" collapsed="false">
      <c r="A295" s="13" t="s">
        <v>231</v>
      </c>
      <c r="B295" s="13" t="n">
        <v>96</v>
      </c>
      <c r="C295" s="17" t="n">
        <f aca="false">B295/100*Notas!$B$3</f>
        <v>91.2</v>
      </c>
      <c r="D295" s="17" t="n">
        <f aca="false">17.68/95*Notas!$B$3</f>
        <v>17.68</v>
      </c>
      <c r="E295" s="17" t="n">
        <f aca="false">33.83/95*Notas!$B$3</f>
        <v>33.83</v>
      </c>
      <c r="F295" s="13" t="n">
        <v>2</v>
      </c>
      <c r="G295" s="17" t="n">
        <f aca="false">17.68/95*Notas!$B$3</f>
        <v>17.68</v>
      </c>
      <c r="H295" s="17" t="n">
        <f aca="false">25.31/95*Notas!$B$3</f>
        <v>25.31</v>
      </c>
      <c r="I295" s="17" t="n">
        <f aca="false">76.32/95*Notas!$B$3</f>
        <v>76.32</v>
      </c>
      <c r="J295" s="17" t="n">
        <f aca="false">89.02/95*Notas!$B$3</f>
        <v>89.02</v>
      </c>
    </row>
    <row r="296" customFormat="false" ht="15" hidden="false" customHeight="false" outlineLevel="0" collapsed="false">
      <c r="A296" s="13" t="s">
        <v>231</v>
      </c>
      <c r="B296" s="13" t="n">
        <v>97</v>
      </c>
      <c r="C296" s="17" t="n">
        <f aca="false">B296/100*Notas!$B$3</f>
        <v>92.15</v>
      </c>
      <c r="D296" s="17" t="n">
        <f aca="false">15.36/95*Notas!$B$3</f>
        <v>15.36</v>
      </c>
      <c r="E296" s="17" t="n">
        <f aca="false">24.15/95*Notas!$B$3</f>
        <v>24.15</v>
      </c>
      <c r="F296" s="13" t="n">
        <v>1</v>
      </c>
      <c r="G296" s="17" t="n">
        <f aca="false">15.36/95*Notas!$B$3</f>
        <v>15.36</v>
      </c>
      <c r="H296" s="17" t="n">
        <f aca="false">24.15/95*Notas!$B$3</f>
        <v>24.15</v>
      </c>
      <c r="I296" s="17" t="n">
        <f aca="false">65.62/95*Notas!$B$3</f>
        <v>65.62</v>
      </c>
      <c r="J296" s="17" t="n">
        <f aca="false">65.62/95*Notas!$B$3</f>
        <v>65.62</v>
      </c>
    </row>
    <row r="297" customFormat="false" ht="15" hidden="false" customHeight="false" outlineLevel="0" collapsed="false">
      <c r="A297" s="13" t="s">
        <v>231</v>
      </c>
      <c r="B297" s="13" t="n">
        <v>98</v>
      </c>
      <c r="C297" s="17" t="n">
        <f aca="false">B297/100*Notas!$B$3</f>
        <v>93.1</v>
      </c>
      <c r="D297" s="17" t="n">
        <f aca="false">12.44/95*Notas!$B$3</f>
        <v>12.44</v>
      </c>
      <c r="E297" s="17" t="n">
        <f aca="false">22.02/95*Notas!$B$3</f>
        <v>22.02</v>
      </c>
      <c r="F297" s="13" t="n">
        <v>1</v>
      </c>
      <c r="G297" s="17" t="n">
        <f aca="false">12.44/95*Notas!$B$3</f>
        <v>12.44</v>
      </c>
      <c r="H297" s="17" t="n">
        <f aca="false">22.02/95*Notas!$B$3</f>
        <v>22.02</v>
      </c>
      <c r="I297" s="17" t="n">
        <f aca="false">55.19/95*Notas!$B$3</f>
        <v>55.19</v>
      </c>
      <c r="J297" s="17" t="n">
        <f aca="false">55.19/95*Notas!$B$3</f>
        <v>55.19</v>
      </c>
    </row>
    <row r="298" customFormat="false" ht="15" hidden="false" customHeight="false" outlineLevel="0" collapsed="false">
      <c r="A298" s="13" t="s">
        <v>231</v>
      </c>
      <c r="B298" s="13" t="n">
        <v>99</v>
      </c>
      <c r="C298" s="17" t="n">
        <f aca="false">B298/100*Notas!$B$3</f>
        <v>94.05</v>
      </c>
      <c r="D298" s="17" t="n">
        <f aca="false">9.13/95*Notas!$B$3</f>
        <v>9.13</v>
      </c>
      <c r="E298" s="17" t="n">
        <f aca="false">18.45/95*Notas!$B$3</f>
        <v>18.45</v>
      </c>
      <c r="F298" s="13" t="n">
        <v>1</v>
      </c>
      <c r="G298" s="17" t="n">
        <f aca="false">9.13/95*Notas!$B$3</f>
        <v>9.13</v>
      </c>
      <c r="H298" s="17" t="n">
        <f aca="false">18.45/95*Notas!$B$3</f>
        <v>18.45</v>
      </c>
      <c r="I298" s="17" t="n">
        <f aca="false">43.19/95*Notas!$B$3</f>
        <v>43.19</v>
      </c>
      <c r="J298" s="17" t="n">
        <f aca="false">43.19/95*Notas!$B$3</f>
        <v>43.19</v>
      </c>
    </row>
    <row r="299" customFormat="false" ht="15" hidden="false" customHeight="false" outlineLevel="0" collapsed="false">
      <c r="A299" s="13" t="s">
        <v>232</v>
      </c>
      <c r="B299" s="13" t="n">
        <v>1</v>
      </c>
      <c r="C299" s="17" t="n">
        <f aca="false">B299/100*Notas!$B$3</f>
        <v>0.95</v>
      </c>
      <c r="D299" s="17" t="n">
        <f aca="false">22.69/95*Notas!$B$3</f>
        <v>22.69</v>
      </c>
      <c r="E299" s="17" t="n">
        <f aca="false">16.15/95*Notas!$B$3</f>
        <v>16.15</v>
      </c>
      <c r="F299" s="13" t="n">
        <v>2</v>
      </c>
      <c r="G299" s="17" t="n">
        <f aca="false">10.5/95*Notas!$B$3</f>
        <v>10.5</v>
      </c>
      <c r="H299" s="17" t="n">
        <f aca="false">15.97/95*Notas!$B$3</f>
        <v>15.97</v>
      </c>
      <c r="I299" s="17" t="n">
        <f aca="false">42.01/95*Notas!$B$3</f>
        <v>42.01</v>
      </c>
      <c r="J299" s="17" t="n">
        <f aca="false">85.75/95*Notas!$B$3</f>
        <v>85.75</v>
      </c>
    </row>
    <row r="300" customFormat="false" ht="15" hidden="false" customHeight="false" outlineLevel="0" collapsed="false">
      <c r="A300" s="13" t="s">
        <v>232</v>
      </c>
      <c r="B300" s="13" t="n">
        <v>2</v>
      </c>
      <c r="C300" s="17" t="n">
        <f aca="false">B300/100*Notas!$B$3</f>
        <v>1.9</v>
      </c>
      <c r="D300" s="17" t="n">
        <f aca="false">22.27/95*Notas!$B$3</f>
        <v>22.27</v>
      </c>
      <c r="E300" s="17" t="n">
        <f aca="false">15.8/95*Notas!$B$3</f>
        <v>15.8</v>
      </c>
      <c r="F300" s="13" t="n">
        <v>2</v>
      </c>
      <c r="G300" s="17" t="n">
        <f aca="false">10.17/95*Notas!$B$3</f>
        <v>10.17</v>
      </c>
      <c r="H300" s="17" t="n">
        <f aca="false">15.59/95*Notas!$B$3</f>
        <v>15.59</v>
      </c>
      <c r="I300" s="17" t="n">
        <f aca="false">41.17/95*Notas!$B$3</f>
        <v>41.17</v>
      </c>
      <c r="J300" s="17" t="n">
        <f aca="false">84.25/95*Notas!$B$3</f>
        <v>84.25</v>
      </c>
    </row>
    <row r="301" customFormat="false" ht="15" hidden="false" customHeight="false" outlineLevel="0" collapsed="false">
      <c r="A301" s="13" t="s">
        <v>232</v>
      </c>
      <c r="B301" s="13" t="n">
        <v>3</v>
      </c>
      <c r="C301" s="17" t="n">
        <f aca="false">B301/100*Notas!$B$3</f>
        <v>2.85</v>
      </c>
      <c r="D301" s="17" t="n">
        <f aca="false">21.13/95*Notas!$B$3</f>
        <v>21.13</v>
      </c>
      <c r="E301" s="17" t="n">
        <f aca="false">12.54/95*Notas!$B$3</f>
        <v>12.54</v>
      </c>
      <c r="F301" s="13" t="n">
        <v>2</v>
      </c>
      <c r="G301" s="17" t="n">
        <f aca="false">9.08/95*Notas!$B$3</f>
        <v>9.08</v>
      </c>
      <c r="H301" s="17" t="n">
        <f aca="false">10.95/95*Notas!$B$3</f>
        <v>10.95</v>
      </c>
      <c r="I301" s="17" t="n">
        <f aca="false">32.24/95*Notas!$B$3</f>
        <v>32.24</v>
      </c>
      <c r="J301" s="17" t="n">
        <f aca="false">68.52/95*Notas!$B$3</f>
        <v>68.52</v>
      </c>
    </row>
    <row r="302" customFormat="false" ht="15" hidden="false" customHeight="false" outlineLevel="0" collapsed="false">
      <c r="A302" s="13" t="s">
        <v>232</v>
      </c>
      <c r="B302" s="13" t="n">
        <v>4</v>
      </c>
      <c r="C302" s="17" t="n">
        <f aca="false">B302/100*Notas!$B$3</f>
        <v>3.8</v>
      </c>
      <c r="D302" s="17" t="n">
        <f aca="false">20.92/95*Notas!$B$3</f>
        <v>20.92</v>
      </c>
      <c r="E302" s="17" t="n">
        <f aca="false">11.43/95*Notas!$B$3</f>
        <v>11.43</v>
      </c>
      <c r="F302" s="13" t="n">
        <v>2</v>
      </c>
      <c r="G302" s="17" t="n">
        <f aca="false">9.27/95*Notas!$B$3</f>
        <v>9.27</v>
      </c>
      <c r="H302" s="17" t="n">
        <f aca="false">11.02/95*Notas!$B$3</f>
        <v>11.02</v>
      </c>
      <c r="I302" s="17" t="n">
        <f aca="false">32.07/95*Notas!$B$3</f>
        <v>32.07</v>
      </c>
      <c r="J302" s="17" t="n">
        <f aca="false">65.33/95*Notas!$B$3</f>
        <v>65.33</v>
      </c>
    </row>
    <row r="303" customFormat="false" ht="15" hidden="false" customHeight="false" outlineLevel="0" collapsed="false">
      <c r="A303" s="13" t="s">
        <v>232</v>
      </c>
      <c r="B303" s="13" t="n">
        <v>5</v>
      </c>
      <c r="C303" s="17" t="n">
        <f aca="false">B303/100*Notas!$B$3</f>
        <v>4.75</v>
      </c>
      <c r="D303" s="17" t="n">
        <f aca="false">20.61/95*Notas!$B$3</f>
        <v>20.61</v>
      </c>
      <c r="E303" s="17" t="n">
        <f aca="false">11.06/95*Notas!$B$3</f>
        <v>11.06</v>
      </c>
      <c r="F303" s="13" t="n">
        <v>2</v>
      </c>
      <c r="G303" s="17" t="n">
        <f aca="false">9.09/95*Notas!$B$3</f>
        <v>9.09</v>
      </c>
      <c r="H303" s="17" t="n">
        <f aca="false">10.74/95*Notas!$B$3</f>
        <v>10.74</v>
      </c>
      <c r="I303" s="17" t="n">
        <f aca="false">31.35/95*Notas!$B$3</f>
        <v>31.35</v>
      </c>
      <c r="J303" s="17" t="n">
        <f aca="false">63.85/95*Notas!$B$3</f>
        <v>63.85</v>
      </c>
    </row>
    <row r="304" customFormat="false" ht="15" hidden="false" customHeight="false" outlineLevel="0" collapsed="false">
      <c r="A304" s="13" t="s">
        <v>232</v>
      </c>
      <c r="B304" s="13" t="n">
        <v>6</v>
      </c>
      <c r="C304" s="17" t="n">
        <f aca="false">B304/100*Notas!$B$3</f>
        <v>5.7</v>
      </c>
      <c r="D304" s="17" t="n">
        <f aca="false">19.85/95*Notas!$B$3</f>
        <v>19.85</v>
      </c>
      <c r="E304" s="17" t="n">
        <f aca="false">10.27/95*Notas!$B$3</f>
        <v>10.27</v>
      </c>
      <c r="F304" s="13" t="n">
        <v>2</v>
      </c>
      <c r="G304" s="17" t="n">
        <f aca="false">8.55/95*Notas!$B$3</f>
        <v>8.55</v>
      </c>
      <c r="H304" s="17" t="n">
        <f aca="false">10.06/95*Notas!$B$3</f>
        <v>10.06</v>
      </c>
      <c r="I304" s="17" t="n">
        <f aca="false">29.18/95*Notas!$B$3</f>
        <v>29.18</v>
      </c>
      <c r="J304" s="17" t="n">
        <f aca="false">58.83/95*Notas!$B$3</f>
        <v>58.83</v>
      </c>
    </row>
    <row r="305" customFormat="false" ht="15" hidden="false" customHeight="false" outlineLevel="0" collapsed="false">
      <c r="A305" s="13" t="s">
        <v>232</v>
      </c>
      <c r="B305" s="13" t="n">
        <v>7</v>
      </c>
      <c r="C305" s="17" t="n">
        <f aca="false">B305/100*Notas!$B$3</f>
        <v>6.65</v>
      </c>
      <c r="D305" s="17" t="n">
        <f aca="false">19.68/95*Notas!$B$3</f>
        <v>19.68</v>
      </c>
      <c r="E305" s="17" t="n">
        <f aca="false">10.35/95*Notas!$B$3</f>
        <v>10.35</v>
      </c>
      <c r="F305" s="13" t="n">
        <v>2</v>
      </c>
      <c r="G305" s="17" t="n">
        <f aca="false">8.56/95*Notas!$B$3</f>
        <v>8.56</v>
      </c>
      <c r="H305" s="17" t="n">
        <f aca="false">10.14/95*Notas!$B$3</f>
        <v>10.14</v>
      </c>
      <c r="I305" s="17" t="n">
        <f aca="false">29.2/95*Notas!$B$3</f>
        <v>29.2</v>
      </c>
      <c r="J305" s="17" t="n">
        <f aca="false">58.97/95*Notas!$B$3</f>
        <v>58.97</v>
      </c>
    </row>
    <row r="306" customFormat="false" ht="15" hidden="false" customHeight="false" outlineLevel="0" collapsed="false">
      <c r="A306" s="13" t="s">
        <v>232</v>
      </c>
      <c r="B306" s="13" t="n">
        <v>8</v>
      </c>
      <c r="C306" s="17" t="n">
        <f aca="false">B306/100*Notas!$B$3</f>
        <v>7.6</v>
      </c>
      <c r="D306" s="17" t="n">
        <f aca="false">19.5/95*Notas!$B$3</f>
        <v>19.5</v>
      </c>
      <c r="E306" s="17" t="n">
        <f aca="false">10.36/95*Notas!$B$3</f>
        <v>10.36</v>
      </c>
      <c r="F306" s="13" t="n">
        <v>2</v>
      </c>
      <c r="G306" s="17" t="n">
        <f aca="false">8.58/95*Notas!$B$3</f>
        <v>8.58</v>
      </c>
      <c r="H306" s="17" t="n">
        <f aca="false">10.16/95*Notas!$B$3</f>
        <v>10.16</v>
      </c>
      <c r="I306" s="17" t="n">
        <f aca="false">29.25/95*Notas!$B$3</f>
        <v>29.25</v>
      </c>
      <c r="J306" s="17" t="n">
        <f aca="false">59.11/95*Notas!$B$3</f>
        <v>59.11</v>
      </c>
    </row>
    <row r="307" customFormat="false" ht="15" hidden="false" customHeight="false" outlineLevel="0" collapsed="false">
      <c r="A307" s="13" t="s">
        <v>232</v>
      </c>
      <c r="B307" s="13" t="n">
        <v>9</v>
      </c>
      <c r="C307" s="17" t="n">
        <f aca="false">B307/100*Notas!$B$3</f>
        <v>8.55</v>
      </c>
      <c r="D307" s="17" t="n">
        <f aca="false">19.32/95*Notas!$B$3</f>
        <v>19.32</v>
      </c>
      <c r="E307" s="17" t="n">
        <f aca="false">10.38/95*Notas!$B$3</f>
        <v>10.38</v>
      </c>
      <c r="F307" s="13" t="n">
        <v>2</v>
      </c>
      <c r="G307" s="17" t="n">
        <f aca="false">8.59/95*Notas!$B$3</f>
        <v>8.59</v>
      </c>
      <c r="H307" s="17" t="n">
        <f aca="false">10.18/95*Notas!$B$3</f>
        <v>10.18</v>
      </c>
      <c r="I307" s="17" t="n">
        <f aca="false">29.3/95*Notas!$B$3</f>
        <v>29.3</v>
      </c>
      <c r="J307" s="17" t="n">
        <f aca="false">59.21/95*Notas!$B$3</f>
        <v>59.21</v>
      </c>
    </row>
    <row r="308" customFormat="false" ht="15" hidden="false" customHeight="false" outlineLevel="0" collapsed="false">
      <c r="A308" s="13" t="s">
        <v>232</v>
      </c>
      <c r="B308" s="13" t="n">
        <v>10</v>
      </c>
      <c r="C308" s="17" t="n">
        <f aca="false">B308/100*Notas!$B$3</f>
        <v>9.5</v>
      </c>
      <c r="D308" s="17" t="n">
        <f aca="false">19.14/95*Notas!$B$3</f>
        <v>19.14</v>
      </c>
      <c r="E308" s="17" t="n">
        <f aca="false">10.39/95*Notas!$B$3</f>
        <v>10.39</v>
      </c>
      <c r="F308" s="13" t="n">
        <v>2</v>
      </c>
      <c r="G308" s="17" t="n">
        <f aca="false">8.6/95*Notas!$B$3</f>
        <v>8.6</v>
      </c>
      <c r="H308" s="17" t="n">
        <f aca="false">10.2/95*Notas!$B$3</f>
        <v>10.2</v>
      </c>
      <c r="I308" s="17" t="n">
        <f aca="false">29.34/95*Notas!$B$3</f>
        <v>29.34</v>
      </c>
      <c r="J308" s="17" t="n">
        <f aca="false">59.26/95*Notas!$B$3</f>
        <v>59.26</v>
      </c>
    </row>
    <row r="309" customFormat="false" ht="15" hidden="false" customHeight="false" outlineLevel="0" collapsed="false">
      <c r="A309" s="13" t="s">
        <v>232</v>
      </c>
      <c r="B309" s="13" t="n">
        <v>11</v>
      </c>
      <c r="C309" s="17" t="n">
        <f aca="false">B309/100*Notas!$B$3</f>
        <v>10.45</v>
      </c>
      <c r="D309" s="17" t="n">
        <f aca="false">18.94/95*Notas!$B$3</f>
        <v>18.94</v>
      </c>
      <c r="E309" s="17" t="n">
        <f aca="false">10.4/95*Notas!$B$3</f>
        <v>10.4</v>
      </c>
      <c r="F309" s="13" t="n">
        <v>2</v>
      </c>
      <c r="G309" s="17" t="n">
        <f aca="false">8.61/95*Notas!$B$3</f>
        <v>8.61</v>
      </c>
      <c r="H309" s="17" t="n">
        <f aca="false">10.19/95*Notas!$B$3</f>
        <v>10.19</v>
      </c>
      <c r="I309" s="17" t="n">
        <f aca="false">29.37/95*Notas!$B$3</f>
        <v>29.37</v>
      </c>
      <c r="J309" s="17" t="n">
        <f aca="false">59.27/95*Notas!$B$3</f>
        <v>59.27</v>
      </c>
    </row>
    <row r="310" customFormat="false" ht="15" hidden="false" customHeight="false" outlineLevel="0" collapsed="false">
      <c r="A310" s="13" t="s">
        <v>232</v>
      </c>
      <c r="B310" s="13" t="n">
        <v>12</v>
      </c>
      <c r="C310" s="17" t="n">
        <f aca="false">B310/100*Notas!$B$3</f>
        <v>11.4</v>
      </c>
      <c r="D310" s="17" t="n">
        <f aca="false">18.75/95*Notas!$B$3</f>
        <v>18.75</v>
      </c>
      <c r="E310" s="17" t="n">
        <f aca="false">10.37/95*Notas!$B$3</f>
        <v>10.37</v>
      </c>
      <c r="F310" s="13" t="n">
        <v>2</v>
      </c>
      <c r="G310" s="17" t="n">
        <f aca="false">8.65/95*Notas!$B$3</f>
        <v>8.65</v>
      </c>
      <c r="H310" s="17" t="n">
        <f aca="false">10.19/95*Notas!$B$3</f>
        <v>10.19</v>
      </c>
      <c r="I310" s="17" t="n">
        <f aca="false">29.41/95*Notas!$B$3</f>
        <v>29.41</v>
      </c>
      <c r="J310" s="17" t="n">
        <f aca="false">59.23/95*Notas!$B$3</f>
        <v>59.23</v>
      </c>
    </row>
    <row r="311" customFormat="false" ht="15" hidden="false" customHeight="false" outlineLevel="0" collapsed="false">
      <c r="A311" s="13" t="s">
        <v>232</v>
      </c>
      <c r="B311" s="13" t="n">
        <v>13</v>
      </c>
      <c r="C311" s="17" t="n">
        <f aca="false">B311/100*Notas!$B$3</f>
        <v>12.35</v>
      </c>
      <c r="D311" s="17" t="n">
        <f aca="false">18.55/95*Notas!$B$3</f>
        <v>18.55</v>
      </c>
      <c r="E311" s="17" t="n">
        <f aca="false">10.32/95*Notas!$B$3</f>
        <v>10.32</v>
      </c>
      <c r="F311" s="13" t="n">
        <v>2</v>
      </c>
      <c r="G311" s="17" t="n">
        <f aca="false">8.79/95*Notas!$B$3</f>
        <v>8.79</v>
      </c>
      <c r="H311" s="17" t="n">
        <f aca="false">10.18/95*Notas!$B$3</f>
        <v>10.18</v>
      </c>
      <c r="I311" s="17" t="n">
        <f aca="false">30.35/95*Notas!$B$3</f>
        <v>30.35</v>
      </c>
      <c r="J311" s="17" t="n">
        <f aca="false">60.08/95*Notas!$B$3</f>
        <v>60.08</v>
      </c>
    </row>
    <row r="312" customFormat="false" ht="15" hidden="false" customHeight="false" outlineLevel="0" collapsed="false">
      <c r="A312" s="13" t="s">
        <v>232</v>
      </c>
      <c r="B312" s="13" t="n">
        <v>14</v>
      </c>
      <c r="C312" s="17" t="n">
        <f aca="false">B312/100*Notas!$B$3</f>
        <v>13.3</v>
      </c>
      <c r="D312" s="17" t="n">
        <f aca="false">18.36/95*Notas!$B$3</f>
        <v>18.36</v>
      </c>
      <c r="E312" s="17" t="n">
        <f aca="false">10.2/95*Notas!$B$3</f>
        <v>10.2</v>
      </c>
      <c r="F312" s="13" t="n">
        <v>2</v>
      </c>
      <c r="G312" s="17" t="n">
        <f aca="false">8.74/95*Notas!$B$3</f>
        <v>8.74</v>
      </c>
      <c r="H312" s="17" t="n">
        <f aca="false">10.09/95*Notas!$B$3</f>
        <v>10.09</v>
      </c>
      <c r="I312" s="17" t="n">
        <f aca="false">29.79/95*Notas!$B$3</f>
        <v>29.79</v>
      </c>
      <c r="J312" s="17" t="n">
        <f aca="false">59.32/95*Notas!$B$3</f>
        <v>59.32</v>
      </c>
    </row>
    <row r="313" customFormat="false" ht="15" hidden="false" customHeight="false" outlineLevel="0" collapsed="false">
      <c r="A313" s="13" t="s">
        <v>232</v>
      </c>
      <c r="B313" s="13" t="n">
        <v>15</v>
      </c>
      <c r="C313" s="17" t="n">
        <f aca="false">B313/100*Notas!$B$3</f>
        <v>14.25</v>
      </c>
      <c r="D313" s="17" t="n">
        <f aca="false">18.16/95*Notas!$B$3</f>
        <v>18.16</v>
      </c>
      <c r="E313" s="17" t="n">
        <f aca="false">9.98/95*Notas!$B$3</f>
        <v>9.98</v>
      </c>
      <c r="F313" s="13" t="n">
        <v>2</v>
      </c>
      <c r="G313" s="17" t="n">
        <f aca="false">8.6/95*Notas!$B$3</f>
        <v>8.6</v>
      </c>
      <c r="H313" s="17" t="n">
        <f aca="false">9.97/95*Notas!$B$3</f>
        <v>9.97</v>
      </c>
      <c r="I313" s="17" t="n">
        <f aca="false">29.11/95*Notas!$B$3</f>
        <v>29.11</v>
      </c>
      <c r="J313" s="17" t="n">
        <f aca="false">58.26/95*Notas!$B$3</f>
        <v>58.26</v>
      </c>
    </row>
    <row r="314" customFormat="false" ht="15" hidden="false" customHeight="false" outlineLevel="0" collapsed="false">
      <c r="A314" s="13" t="s">
        <v>232</v>
      </c>
      <c r="B314" s="13" t="n">
        <v>16</v>
      </c>
      <c r="C314" s="17" t="n">
        <f aca="false">B314/100*Notas!$B$3</f>
        <v>15.2</v>
      </c>
      <c r="D314" s="17" t="n">
        <f aca="false">19.44/95*Notas!$B$3</f>
        <v>19.44</v>
      </c>
      <c r="E314" s="17" t="n">
        <f aca="false">14.48/95*Notas!$B$3</f>
        <v>14.48</v>
      </c>
      <c r="F314" s="13" t="n">
        <v>1</v>
      </c>
      <c r="G314" s="17" t="n">
        <f aca="false">19.44/95*Notas!$B$3</f>
        <v>19.44</v>
      </c>
      <c r="H314" s="17" t="n">
        <f aca="false">14.48/95*Notas!$B$3</f>
        <v>14.48</v>
      </c>
      <c r="I314" s="17" t="n">
        <f aca="false">60.42/95*Notas!$B$3</f>
        <v>60.42</v>
      </c>
      <c r="J314" s="17" t="n">
        <f aca="false">60.42/95*Notas!$B$3</f>
        <v>60.42</v>
      </c>
    </row>
    <row r="315" customFormat="false" ht="15" hidden="false" customHeight="false" outlineLevel="0" collapsed="false">
      <c r="A315" s="13" t="s">
        <v>232</v>
      </c>
      <c r="B315" s="13" t="n">
        <v>17</v>
      </c>
      <c r="C315" s="17" t="n">
        <f aca="false">B315/100*Notas!$B$3</f>
        <v>16.15</v>
      </c>
      <c r="D315" s="17" t="n">
        <f aca="false">22.13/95*Notas!$B$3</f>
        <v>22.13</v>
      </c>
      <c r="E315" s="17" t="n">
        <f aca="false">19.68/95*Notas!$B$3</f>
        <v>19.68</v>
      </c>
      <c r="F315" s="13" t="n">
        <v>1</v>
      </c>
      <c r="G315" s="17" t="n">
        <f aca="false">22.13/95*Notas!$B$3</f>
        <v>22.13</v>
      </c>
      <c r="H315" s="17" t="n">
        <f aca="false">19.68/95*Notas!$B$3</f>
        <v>19.68</v>
      </c>
      <c r="I315" s="17" t="n">
        <f aca="false">70.82/95*Notas!$B$3</f>
        <v>70.82</v>
      </c>
      <c r="J315" s="17" t="n">
        <f aca="false">70.82/95*Notas!$B$3</f>
        <v>70.82</v>
      </c>
    </row>
    <row r="316" customFormat="false" ht="15" hidden="false" customHeight="false" outlineLevel="0" collapsed="false">
      <c r="A316" s="13" t="s">
        <v>232</v>
      </c>
      <c r="B316" s="13" t="n">
        <v>18</v>
      </c>
      <c r="C316" s="17" t="n">
        <f aca="false">B316/100*Notas!$B$3</f>
        <v>17.1</v>
      </c>
      <c r="D316" s="17" t="n">
        <f aca="false">41.54/95*Notas!$B$3</f>
        <v>41.54</v>
      </c>
      <c r="E316" s="17" t="n">
        <f aca="false">22.13/95*Notas!$B$3</f>
        <v>22.13</v>
      </c>
      <c r="F316" s="13" t="n">
        <v>2</v>
      </c>
      <c r="G316" s="17" t="n">
        <f aca="false">21.94/95*Notas!$B$3</f>
        <v>21.94</v>
      </c>
      <c r="H316" s="17" t="n">
        <f aca="false">19.73/95*Notas!$B$3</f>
        <v>19.73</v>
      </c>
      <c r="I316" s="17" t="n">
        <f aca="false">70.71/95*Notas!$B$3</f>
        <v>70.71</v>
      </c>
      <c r="J316" s="17" t="n">
        <f aca="false">85.75/95*Notas!$B$3</f>
        <v>85.75</v>
      </c>
    </row>
    <row r="317" customFormat="false" ht="15" hidden="false" customHeight="false" outlineLevel="0" collapsed="false">
      <c r="A317" s="13" t="s">
        <v>232</v>
      </c>
      <c r="B317" s="13" t="n">
        <v>19</v>
      </c>
      <c r="C317" s="17" t="n">
        <f aca="false">B317/100*Notas!$B$3</f>
        <v>18.05</v>
      </c>
      <c r="D317" s="17" t="n">
        <f aca="false">65.26/95*Notas!$B$3</f>
        <v>65.26</v>
      </c>
      <c r="E317" s="17" t="n">
        <f aca="false">23.61/95*Notas!$B$3</f>
        <v>23.61</v>
      </c>
      <c r="F317" s="13" t="n">
        <v>3</v>
      </c>
      <c r="G317" s="17" t="n">
        <f aca="false">21.43/95*Notas!$B$3</f>
        <v>21.43</v>
      </c>
      <c r="H317" s="17" t="n">
        <f aca="false">19.56/95*Notas!$B$3</f>
        <v>19.56</v>
      </c>
      <c r="I317" s="17" t="n">
        <f aca="false">69.97/95*Notas!$B$3</f>
        <v>69.97</v>
      </c>
      <c r="J317" s="17" t="n">
        <f aca="false">116.5/95*Notas!$B$3</f>
        <v>116.5</v>
      </c>
    </row>
    <row r="318" customFormat="false" ht="15" hidden="false" customHeight="false" outlineLevel="0" collapsed="false">
      <c r="A318" s="13" t="s">
        <v>232</v>
      </c>
      <c r="B318" s="13" t="n">
        <v>20</v>
      </c>
      <c r="C318" s="17" t="n">
        <f aca="false">B318/100*Notas!$B$3</f>
        <v>19</v>
      </c>
      <c r="D318" s="17" t="n">
        <f aca="false">66.33/95*Notas!$B$3</f>
        <v>66.33</v>
      </c>
      <c r="E318" s="17" t="n">
        <f aca="false">24.86/95*Notas!$B$3</f>
        <v>24.86</v>
      </c>
      <c r="F318" s="13" t="n">
        <v>3</v>
      </c>
      <c r="G318" s="17" t="n">
        <f aca="false">21.38/95*Notas!$B$3</f>
        <v>21.38</v>
      </c>
      <c r="H318" s="17" t="n">
        <f aca="false">19.64/95*Notas!$B$3</f>
        <v>19.64</v>
      </c>
      <c r="I318" s="17" t="n">
        <f aca="false">69.77/95*Notas!$B$3</f>
        <v>69.77</v>
      </c>
      <c r="J318" s="17" t="n">
        <f aca="false">134.17/95*Notas!$B$3</f>
        <v>134.17</v>
      </c>
    </row>
    <row r="319" customFormat="false" ht="15" hidden="false" customHeight="false" outlineLevel="0" collapsed="false">
      <c r="A319" s="13" t="s">
        <v>232</v>
      </c>
      <c r="B319" s="13" t="n">
        <v>21</v>
      </c>
      <c r="C319" s="17" t="n">
        <f aca="false">B319/100*Notas!$B$3</f>
        <v>19.95</v>
      </c>
      <c r="D319" s="17" t="n">
        <f aca="false">66.82/95*Notas!$B$3</f>
        <v>66.82</v>
      </c>
      <c r="E319" s="17" t="n">
        <f aca="false">25.09/95*Notas!$B$3</f>
        <v>25.09</v>
      </c>
      <c r="F319" s="13" t="n">
        <v>3</v>
      </c>
      <c r="G319" s="17" t="n">
        <f aca="false">21.33/95*Notas!$B$3</f>
        <v>21.33</v>
      </c>
      <c r="H319" s="17" t="n">
        <f aca="false">19.95/95*Notas!$B$3</f>
        <v>19.95</v>
      </c>
      <c r="I319" s="17" t="n">
        <f aca="false">69.61/95*Notas!$B$3</f>
        <v>69.61</v>
      </c>
      <c r="J319" s="17" t="n">
        <f aca="false">144.07/95*Notas!$B$3</f>
        <v>144.07</v>
      </c>
    </row>
    <row r="320" customFormat="false" ht="15" hidden="false" customHeight="false" outlineLevel="0" collapsed="false">
      <c r="A320" s="13" t="s">
        <v>232</v>
      </c>
      <c r="B320" s="13" t="n">
        <v>22</v>
      </c>
      <c r="C320" s="17" t="n">
        <f aca="false">B320/100*Notas!$B$3</f>
        <v>20.9</v>
      </c>
      <c r="D320" s="17" t="n">
        <f aca="false">66.62/95*Notas!$B$3</f>
        <v>66.62</v>
      </c>
      <c r="E320" s="17" t="n">
        <f aca="false">24.94/95*Notas!$B$3</f>
        <v>24.94</v>
      </c>
      <c r="F320" s="13" t="n">
        <v>3</v>
      </c>
      <c r="G320" s="17" t="n">
        <f aca="false">21.28/95*Notas!$B$3</f>
        <v>21.28</v>
      </c>
      <c r="H320" s="17" t="n">
        <f aca="false">20.05/95*Notas!$B$3</f>
        <v>20.05</v>
      </c>
      <c r="I320" s="17" t="n">
        <f aca="false">69.36/95*Notas!$B$3</f>
        <v>69.36</v>
      </c>
      <c r="J320" s="17" t="n">
        <f aca="false">150.57/95*Notas!$B$3</f>
        <v>150.57</v>
      </c>
    </row>
    <row r="321" customFormat="false" ht="15" hidden="false" customHeight="false" outlineLevel="0" collapsed="false">
      <c r="A321" s="13" t="s">
        <v>232</v>
      </c>
      <c r="B321" s="13" t="n">
        <v>23</v>
      </c>
      <c r="C321" s="17" t="n">
        <f aca="false">B321/100*Notas!$B$3</f>
        <v>21.85</v>
      </c>
      <c r="D321" s="17" t="n">
        <f aca="false">66.13/95*Notas!$B$3</f>
        <v>66.13</v>
      </c>
      <c r="E321" s="17" t="n">
        <f aca="false">24.03/95*Notas!$B$3</f>
        <v>24.03</v>
      </c>
      <c r="F321" s="13" t="n">
        <v>5</v>
      </c>
      <c r="G321" s="17" t="n">
        <f aca="false">21.23/95*Notas!$B$3</f>
        <v>21.23</v>
      </c>
      <c r="H321" s="17" t="n">
        <f aca="false">20.04/95*Notas!$B$3</f>
        <v>20.04</v>
      </c>
      <c r="I321" s="17" t="n">
        <f aca="false">69.05/95*Notas!$B$3</f>
        <v>69.05</v>
      </c>
      <c r="J321" s="17" t="n">
        <f aca="false">161.76/95*Notas!$B$3</f>
        <v>161.76</v>
      </c>
    </row>
    <row r="322" customFormat="false" ht="15" hidden="false" customHeight="false" outlineLevel="0" collapsed="false">
      <c r="A322" s="13" t="s">
        <v>232</v>
      </c>
      <c r="B322" s="13" t="n">
        <v>24</v>
      </c>
      <c r="C322" s="17" t="n">
        <f aca="false">B322/100*Notas!$B$3</f>
        <v>22.8</v>
      </c>
      <c r="D322" s="17" t="n">
        <f aca="false">65.32/95*Notas!$B$3</f>
        <v>65.32</v>
      </c>
      <c r="E322" s="17" t="n">
        <f aca="false">23.57/95*Notas!$B$3</f>
        <v>23.57</v>
      </c>
      <c r="F322" s="13" t="n">
        <v>5</v>
      </c>
      <c r="G322" s="17" t="n">
        <f aca="false">21.17/95*Notas!$B$3</f>
        <v>21.17</v>
      </c>
      <c r="H322" s="17" t="n">
        <f aca="false">20.03/95*Notas!$B$3</f>
        <v>20.03</v>
      </c>
      <c r="I322" s="17" t="n">
        <f aca="false">68.73/95*Notas!$B$3</f>
        <v>68.73</v>
      </c>
      <c r="J322" s="17" t="n">
        <f aca="false">167.25/95*Notas!$B$3</f>
        <v>167.25</v>
      </c>
    </row>
    <row r="323" customFormat="false" ht="15" hidden="false" customHeight="false" outlineLevel="0" collapsed="false">
      <c r="A323" s="13" t="s">
        <v>232</v>
      </c>
      <c r="B323" s="13" t="n">
        <v>25</v>
      </c>
      <c r="C323" s="17" t="n">
        <f aca="false">B323/100*Notas!$B$3</f>
        <v>23.75</v>
      </c>
      <c r="D323" s="17" t="n">
        <f aca="false">64.31/95*Notas!$B$3</f>
        <v>64.31</v>
      </c>
      <c r="E323" s="17" t="n">
        <f aca="false">23.46/95*Notas!$B$3</f>
        <v>23.46</v>
      </c>
      <c r="F323" s="13" t="n">
        <v>5</v>
      </c>
      <c r="G323" s="17" t="n">
        <f aca="false">21.09/95*Notas!$B$3</f>
        <v>21.09</v>
      </c>
      <c r="H323" s="17" t="n">
        <f aca="false">19.88/95*Notas!$B$3</f>
        <v>19.88</v>
      </c>
      <c r="I323" s="17" t="n">
        <f aca="false">68.33/95*Notas!$B$3</f>
        <v>68.33</v>
      </c>
      <c r="J323" s="17" t="n">
        <f aca="false">172.77/95*Notas!$B$3</f>
        <v>172.77</v>
      </c>
    </row>
    <row r="324" customFormat="false" ht="15" hidden="false" customHeight="false" outlineLevel="0" collapsed="false">
      <c r="A324" s="13" t="s">
        <v>232</v>
      </c>
      <c r="B324" s="13" t="n">
        <v>26</v>
      </c>
      <c r="C324" s="17" t="n">
        <f aca="false">B324/100*Notas!$B$3</f>
        <v>24.7</v>
      </c>
      <c r="D324" s="17" t="n">
        <f aca="false">63.02/95*Notas!$B$3</f>
        <v>63.02</v>
      </c>
      <c r="E324" s="17" t="n">
        <f aca="false">23.3/95*Notas!$B$3</f>
        <v>23.3</v>
      </c>
      <c r="F324" s="13" t="n">
        <v>5</v>
      </c>
      <c r="G324" s="17" t="n">
        <f aca="false">21.02/95*Notas!$B$3</f>
        <v>21.02</v>
      </c>
      <c r="H324" s="17" t="n">
        <f aca="false">19.71/95*Notas!$B$3</f>
        <v>19.71</v>
      </c>
      <c r="I324" s="17" t="n">
        <f aca="false">67.83/95*Notas!$B$3</f>
        <v>67.83</v>
      </c>
      <c r="J324" s="17" t="n">
        <f aca="false">181.14/95*Notas!$B$3</f>
        <v>181.14</v>
      </c>
    </row>
    <row r="325" customFormat="false" ht="15" hidden="false" customHeight="false" outlineLevel="0" collapsed="false">
      <c r="A325" s="13" t="s">
        <v>232</v>
      </c>
      <c r="B325" s="13" t="n">
        <v>27</v>
      </c>
      <c r="C325" s="17" t="n">
        <f aca="false">B325/100*Notas!$B$3</f>
        <v>25.65</v>
      </c>
      <c r="D325" s="17" t="n">
        <f aca="false">61.46/95*Notas!$B$3</f>
        <v>61.46</v>
      </c>
      <c r="E325" s="17" t="n">
        <f aca="false">23.13/95*Notas!$B$3</f>
        <v>23.13</v>
      </c>
      <c r="F325" s="13" t="n">
        <v>5</v>
      </c>
      <c r="G325" s="17" t="n">
        <f aca="false">21.28/95*Notas!$B$3</f>
        <v>21.28</v>
      </c>
      <c r="H325" s="17" t="n">
        <f aca="false">19.52/95*Notas!$B$3</f>
        <v>19.52</v>
      </c>
      <c r="I325" s="17" t="n">
        <f aca="false">67.46/95*Notas!$B$3</f>
        <v>67.46</v>
      </c>
      <c r="J325" s="17" t="n">
        <f aca="false">193.5/95*Notas!$B$3</f>
        <v>193.5</v>
      </c>
    </row>
    <row r="326" customFormat="false" ht="15" hidden="false" customHeight="false" outlineLevel="0" collapsed="false">
      <c r="A326" s="13" t="s">
        <v>232</v>
      </c>
      <c r="B326" s="13" t="n">
        <v>28</v>
      </c>
      <c r="C326" s="17" t="n">
        <f aca="false">B326/100*Notas!$B$3</f>
        <v>26.6</v>
      </c>
      <c r="D326" s="17" t="n">
        <f aca="false">59.17/95*Notas!$B$3</f>
        <v>59.17</v>
      </c>
      <c r="E326" s="17" t="n">
        <f aca="false">22.91/95*Notas!$B$3</f>
        <v>22.91</v>
      </c>
      <c r="F326" s="13" t="n">
        <v>3</v>
      </c>
      <c r="G326" s="17" t="n">
        <f aca="false">59.17/95*Notas!$B$3</f>
        <v>59.17</v>
      </c>
      <c r="H326" s="17" t="n">
        <f aca="false">19.24/95*Notas!$B$3</f>
        <v>19.24</v>
      </c>
      <c r="I326" s="17" t="n">
        <f aca="false">141.9/95*Notas!$B$3</f>
        <v>141.9</v>
      </c>
      <c r="J326" s="17" t="n">
        <f aca="false">183.7/95*Notas!$B$3</f>
        <v>183.7</v>
      </c>
    </row>
    <row r="327" customFormat="false" ht="15" hidden="false" customHeight="false" outlineLevel="0" collapsed="false">
      <c r="A327" s="13" t="s">
        <v>232</v>
      </c>
      <c r="B327" s="13" t="n">
        <v>29</v>
      </c>
      <c r="C327" s="17" t="n">
        <f aca="false">B327/100*Notas!$B$3</f>
        <v>27.55</v>
      </c>
      <c r="D327" s="17" t="n">
        <f aca="false">56.86/95*Notas!$B$3</f>
        <v>56.86</v>
      </c>
      <c r="E327" s="17" t="n">
        <f aca="false">27.26/95*Notas!$B$3</f>
        <v>27.26</v>
      </c>
      <c r="F327" s="13" t="n">
        <v>4</v>
      </c>
      <c r="G327" s="17" t="n">
        <f aca="false">56.86/95*Notas!$B$3</f>
        <v>56.86</v>
      </c>
      <c r="H327" s="17" t="n">
        <f aca="false">18.95/95*Notas!$B$3</f>
        <v>18.95</v>
      </c>
      <c r="I327" s="17" t="n">
        <f aca="false">132.13/95*Notas!$B$3</f>
        <v>132.13</v>
      </c>
      <c r="J327" s="17" t="n">
        <f aca="false">183.3/95*Notas!$B$3</f>
        <v>183.3</v>
      </c>
    </row>
    <row r="328" customFormat="false" ht="15" hidden="false" customHeight="false" outlineLevel="0" collapsed="false">
      <c r="A328" s="13" t="s">
        <v>232</v>
      </c>
      <c r="B328" s="13" t="n">
        <v>30</v>
      </c>
      <c r="C328" s="17" t="n">
        <f aca="false">B328/100*Notas!$B$3</f>
        <v>28.5</v>
      </c>
      <c r="D328" s="17" t="n">
        <f aca="false">54.4/95*Notas!$B$3</f>
        <v>54.4</v>
      </c>
      <c r="E328" s="17" t="n">
        <f aca="false">28.21/95*Notas!$B$3</f>
        <v>28.21</v>
      </c>
      <c r="F328" s="13" t="n">
        <v>6</v>
      </c>
      <c r="G328" s="17" t="n">
        <f aca="false">54.4/95*Notas!$B$3</f>
        <v>54.4</v>
      </c>
      <c r="H328" s="17" t="n">
        <f aca="false">18.58/95*Notas!$B$3</f>
        <v>18.58</v>
      </c>
      <c r="I328" s="17" t="n">
        <f aca="false">124.55/95*Notas!$B$3</f>
        <v>124.55</v>
      </c>
      <c r="J328" s="17" t="n">
        <f aca="false">197.8/95*Notas!$B$3</f>
        <v>197.8</v>
      </c>
    </row>
    <row r="329" customFormat="false" ht="15" hidden="false" customHeight="false" outlineLevel="0" collapsed="false">
      <c r="A329" s="13" t="s">
        <v>232</v>
      </c>
      <c r="B329" s="13" t="n">
        <v>31</v>
      </c>
      <c r="C329" s="17" t="n">
        <f aca="false">B329/100*Notas!$B$3</f>
        <v>29.45</v>
      </c>
      <c r="D329" s="17" t="n">
        <f aca="false">51.38/95*Notas!$B$3</f>
        <v>51.38</v>
      </c>
      <c r="E329" s="17" t="n">
        <f aca="false">28.77/95*Notas!$B$3</f>
        <v>28.77</v>
      </c>
      <c r="F329" s="13" t="n">
        <v>6</v>
      </c>
      <c r="G329" s="17" t="n">
        <f aca="false">51.38/95*Notas!$B$3</f>
        <v>51.38</v>
      </c>
      <c r="H329" s="17" t="n">
        <f aca="false">21.69/95*Notas!$B$3</f>
        <v>21.69</v>
      </c>
      <c r="I329" s="17" t="n">
        <f aca="false">166.85/95*Notas!$B$3</f>
        <v>166.85</v>
      </c>
      <c r="J329" s="17" t="n">
        <f aca="false">210.92/95*Notas!$B$3</f>
        <v>210.92</v>
      </c>
    </row>
    <row r="330" customFormat="false" ht="15" hidden="false" customHeight="false" outlineLevel="0" collapsed="false">
      <c r="A330" s="13" t="s">
        <v>232</v>
      </c>
      <c r="B330" s="13" t="n">
        <v>32</v>
      </c>
      <c r="C330" s="17" t="n">
        <f aca="false">B330/100*Notas!$B$3</f>
        <v>30.4</v>
      </c>
      <c r="D330" s="17" t="n">
        <f aca="false">47.72/95*Notas!$B$3</f>
        <v>47.72</v>
      </c>
      <c r="E330" s="17" t="n">
        <f aca="false">29.12/95*Notas!$B$3</f>
        <v>29.12</v>
      </c>
      <c r="F330" s="13" t="n">
        <v>7</v>
      </c>
      <c r="G330" s="17" t="n">
        <f aca="false">47.72/95*Notas!$B$3</f>
        <v>47.72</v>
      </c>
      <c r="H330" s="17" t="n">
        <f aca="false">20.82/95*Notas!$B$3</f>
        <v>20.82</v>
      </c>
      <c r="I330" s="17" t="n">
        <f aca="false">119.2/95*Notas!$B$3</f>
        <v>119.2</v>
      </c>
      <c r="J330" s="17" t="n">
        <f aca="false">205.1/95*Notas!$B$3</f>
        <v>205.1</v>
      </c>
    </row>
    <row r="331" customFormat="false" ht="15" hidden="false" customHeight="false" outlineLevel="0" collapsed="false">
      <c r="A331" s="13" t="s">
        <v>232</v>
      </c>
      <c r="B331" s="13" t="n">
        <v>33</v>
      </c>
      <c r="C331" s="17" t="n">
        <f aca="false">B331/100*Notas!$B$3</f>
        <v>31.35</v>
      </c>
      <c r="D331" s="17" t="n">
        <f aca="false">46.84/95*Notas!$B$3</f>
        <v>46.84</v>
      </c>
      <c r="E331" s="17" t="n">
        <f aca="false">29.34/95*Notas!$B$3</f>
        <v>29.34</v>
      </c>
      <c r="F331" s="13" t="n">
        <v>5</v>
      </c>
      <c r="G331" s="17" t="n">
        <f aca="false">43.26/95*Notas!$B$3</f>
        <v>43.26</v>
      </c>
      <c r="H331" s="17" t="n">
        <f aca="false">19.82/95*Notas!$B$3</f>
        <v>19.82</v>
      </c>
      <c r="I331" s="17" t="n">
        <f aca="false">106.65/95*Notas!$B$3</f>
        <v>106.65</v>
      </c>
      <c r="J331" s="17" t="n">
        <f aca="false">215.12/95*Notas!$B$3</f>
        <v>215.12</v>
      </c>
    </row>
    <row r="332" customFormat="false" ht="15" hidden="false" customHeight="false" outlineLevel="0" collapsed="false">
      <c r="A332" s="13" t="s">
        <v>232</v>
      </c>
      <c r="B332" s="13" t="n">
        <v>34</v>
      </c>
      <c r="C332" s="17" t="n">
        <f aca="false">B332/100*Notas!$B$3</f>
        <v>32.3</v>
      </c>
      <c r="D332" s="17" t="n">
        <f aca="false">45.52/95*Notas!$B$3</f>
        <v>45.52</v>
      </c>
      <c r="E332" s="17" t="n">
        <f aca="false">29.53/95*Notas!$B$3</f>
        <v>29.53</v>
      </c>
      <c r="F332" s="13" t="n">
        <v>3</v>
      </c>
      <c r="G332" s="17" t="n">
        <f aca="false">37.71/95*Notas!$B$3</f>
        <v>37.71</v>
      </c>
      <c r="H332" s="17" t="n">
        <f aca="false">22.27/95*Notas!$B$3</f>
        <v>22.27</v>
      </c>
      <c r="I332" s="17" t="n">
        <f aca="false">117.03/95*Notas!$B$3</f>
        <v>117.03</v>
      </c>
      <c r="J332" s="17" t="n">
        <f aca="false">218.01/95*Notas!$B$3</f>
        <v>218.01</v>
      </c>
    </row>
    <row r="333" customFormat="false" ht="15" hidden="false" customHeight="false" outlineLevel="0" collapsed="false">
      <c r="A333" s="13" t="s">
        <v>232</v>
      </c>
      <c r="B333" s="13" t="n">
        <v>35</v>
      </c>
      <c r="C333" s="17" t="n">
        <f aca="false">B333/100*Notas!$B$3</f>
        <v>33.25</v>
      </c>
      <c r="D333" s="17" t="n">
        <f aca="false">52.95/95*Notas!$B$3</f>
        <v>52.95</v>
      </c>
      <c r="E333" s="17" t="n">
        <f aca="false">29.61/95*Notas!$B$3</f>
        <v>29.61</v>
      </c>
      <c r="F333" s="13" t="n">
        <v>3</v>
      </c>
      <c r="G333" s="17" t="n">
        <f aca="false">41.12/95*Notas!$B$3</f>
        <v>41.12</v>
      </c>
      <c r="H333" s="17" t="n">
        <f aca="false">29.61/95*Notas!$B$3</f>
        <v>29.61</v>
      </c>
      <c r="I333" s="17" t="n">
        <f aca="false">198.74/95*Notas!$B$3</f>
        <v>198.74</v>
      </c>
      <c r="J333" s="17" t="n">
        <f aca="false">222.33/95*Notas!$B$3</f>
        <v>222.33</v>
      </c>
    </row>
    <row r="334" customFormat="false" ht="15" hidden="false" customHeight="false" outlineLevel="0" collapsed="false">
      <c r="A334" s="13" t="s">
        <v>232</v>
      </c>
      <c r="B334" s="13" t="n">
        <v>36</v>
      </c>
      <c r="C334" s="17" t="n">
        <f aca="false">B334/100*Notas!$B$3</f>
        <v>34.2</v>
      </c>
      <c r="D334" s="17" t="n">
        <f aca="false">54.32/95*Notas!$B$3</f>
        <v>54.32</v>
      </c>
      <c r="E334" s="17" t="n">
        <f aca="false">43.92/95*Notas!$B$3</f>
        <v>43.92</v>
      </c>
      <c r="F334" s="13" t="n">
        <v>3</v>
      </c>
      <c r="G334" s="17" t="n">
        <f aca="false">49.34/95*Notas!$B$3</f>
        <v>49.34</v>
      </c>
      <c r="H334" s="17" t="n">
        <f aca="false">43.92/95*Notas!$B$3</f>
        <v>43.92</v>
      </c>
      <c r="I334" s="17" t="n">
        <f aca="false">249.85/95*Notas!$B$3</f>
        <v>249.85</v>
      </c>
      <c r="J334" s="17" t="n">
        <f aca="false">265.04/95*Notas!$B$3</f>
        <v>265.04</v>
      </c>
    </row>
    <row r="335" customFormat="false" ht="15" hidden="false" customHeight="false" outlineLevel="0" collapsed="false">
      <c r="A335" s="13" t="s">
        <v>232</v>
      </c>
      <c r="B335" s="13" t="n">
        <v>37</v>
      </c>
      <c r="C335" s="17" t="n">
        <f aca="false">B335/100*Notas!$B$3</f>
        <v>35.15</v>
      </c>
      <c r="D335" s="17" t="n">
        <f aca="false">55.26/95*Notas!$B$3</f>
        <v>55.26</v>
      </c>
      <c r="E335" s="17" t="n">
        <f aca="false">46.14/95*Notas!$B$3</f>
        <v>46.14</v>
      </c>
      <c r="F335" s="13" t="n">
        <v>2</v>
      </c>
      <c r="G335" s="17" t="n">
        <f aca="false">51.06/95*Notas!$B$3</f>
        <v>51.06</v>
      </c>
      <c r="H335" s="17" t="n">
        <f aca="false">46.14/95*Notas!$B$3</f>
        <v>46.14</v>
      </c>
      <c r="I335" s="17" t="n">
        <f aca="false">209.91/95*Notas!$B$3</f>
        <v>209.91</v>
      </c>
      <c r="J335" s="17" t="n">
        <f aca="false">225.1/95*Notas!$B$3</f>
        <v>225.1</v>
      </c>
    </row>
    <row r="336" customFormat="false" ht="15" hidden="false" customHeight="false" outlineLevel="0" collapsed="false">
      <c r="A336" s="13" t="s">
        <v>232</v>
      </c>
      <c r="B336" s="13" t="n">
        <v>38</v>
      </c>
      <c r="C336" s="17" t="n">
        <f aca="false">B336/100*Notas!$B$3</f>
        <v>36.1</v>
      </c>
      <c r="D336" s="17" t="n">
        <f aca="false">56.04/95*Notas!$B$3</f>
        <v>56.04</v>
      </c>
      <c r="E336" s="17" t="n">
        <f aca="false">47.06/95*Notas!$B$3</f>
        <v>47.06</v>
      </c>
      <c r="F336" s="13" t="n">
        <v>2</v>
      </c>
      <c r="G336" s="17" t="n">
        <f aca="false">52.36/95*Notas!$B$3</f>
        <v>52.36</v>
      </c>
      <c r="H336" s="17" t="n">
        <f aca="false">47.06/95*Notas!$B$3</f>
        <v>47.06</v>
      </c>
      <c r="I336" s="17" t="n">
        <f aca="false">210.85/95*Notas!$B$3</f>
        <v>210.85</v>
      </c>
      <c r="J336" s="17" t="n">
        <f aca="false">227.68/95*Notas!$B$3</f>
        <v>227.68</v>
      </c>
    </row>
    <row r="337" customFormat="false" ht="15" hidden="false" customHeight="false" outlineLevel="0" collapsed="false">
      <c r="A337" s="13" t="s">
        <v>232</v>
      </c>
      <c r="B337" s="13" t="n">
        <v>39</v>
      </c>
      <c r="C337" s="17" t="n">
        <f aca="false">B337/100*Notas!$B$3</f>
        <v>37.05</v>
      </c>
      <c r="D337" s="17" t="n">
        <f aca="false">56.77/95*Notas!$B$3</f>
        <v>56.77</v>
      </c>
      <c r="E337" s="17" t="n">
        <f aca="false">47.65/95*Notas!$B$3</f>
        <v>47.65</v>
      </c>
      <c r="F337" s="13" t="n">
        <v>1</v>
      </c>
      <c r="G337" s="17" t="n">
        <f aca="false">56.77/95*Notas!$B$3</f>
        <v>56.77</v>
      </c>
      <c r="H337" s="17" t="n">
        <f aca="false">47.65/95*Notas!$B$3</f>
        <v>47.65</v>
      </c>
      <c r="I337" s="17" t="n">
        <f aca="false">222.77/95*Notas!$B$3</f>
        <v>222.77</v>
      </c>
      <c r="J337" s="17" t="n">
        <f aca="false">222.77/95*Notas!$B$3</f>
        <v>222.77</v>
      </c>
    </row>
    <row r="338" customFormat="false" ht="15" hidden="false" customHeight="false" outlineLevel="0" collapsed="false">
      <c r="A338" s="13" t="s">
        <v>232</v>
      </c>
      <c r="B338" s="13" t="n">
        <v>40</v>
      </c>
      <c r="C338" s="17" t="n">
        <f aca="false">B338/100*Notas!$B$3</f>
        <v>38</v>
      </c>
      <c r="D338" s="17" t="n">
        <f aca="false">63.15/95*Notas!$B$3</f>
        <v>63.15</v>
      </c>
      <c r="E338" s="17" t="n">
        <f aca="false">48.26/95*Notas!$B$3</f>
        <v>48.26</v>
      </c>
      <c r="F338" s="13" t="n">
        <v>2</v>
      </c>
      <c r="G338" s="17" t="n">
        <f aca="false">57.42/95*Notas!$B$3</f>
        <v>57.42</v>
      </c>
      <c r="H338" s="17" t="n">
        <f aca="false">48.26/95*Notas!$B$3</f>
        <v>48.26</v>
      </c>
      <c r="I338" s="17" t="n">
        <f aca="false">216.77/95*Notas!$B$3</f>
        <v>216.77</v>
      </c>
      <c r="J338" s="17" t="n">
        <f aca="false">252.72/95*Notas!$B$3</f>
        <v>252.72</v>
      </c>
    </row>
    <row r="339" customFormat="false" ht="15" hidden="false" customHeight="false" outlineLevel="0" collapsed="false">
      <c r="A339" s="13" t="s">
        <v>232</v>
      </c>
      <c r="B339" s="13" t="n">
        <v>41</v>
      </c>
      <c r="C339" s="17" t="n">
        <f aca="false">B339/100*Notas!$B$3</f>
        <v>38.95</v>
      </c>
      <c r="D339" s="17" t="n">
        <f aca="false">74.85/95*Notas!$B$3</f>
        <v>74.85</v>
      </c>
      <c r="E339" s="17" t="n">
        <f aca="false">49.07/95*Notas!$B$3</f>
        <v>49.07</v>
      </c>
      <c r="F339" s="13" t="n">
        <v>1</v>
      </c>
      <c r="G339" s="17" t="n">
        <f aca="false">74.85/95*Notas!$B$3</f>
        <v>74.85</v>
      </c>
      <c r="H339" s="17" t="n">
        <f aca="false">49.07/95*Notas!$B$3</f>
        <v>49.07</v>
      </c>
      <c r="I339" s="17" t="n">
        <f aca="false">266.75/95*Notas!$B$3</f>
        <v>266.75</v>
      </c>
      <c r="J339" s="17" t="n">
        <f aca="false">266.75/95*Notas!$B$3</f>
        <v>266.75</v>
      </c>
    </row>
    <row r="340" customFormat="false" ht="15" hidden="false" customHeight="false" outlineLevel="0" collapsed="false">
      <c r="A340" s="13" t="s">
        <v>232</v>
      </c>
      <c r="B340" s="13" t="n">
        <v>42</v>
      </c>
      <c r="C340" s="17" t="n">
        <f aca="false">B340/100*Notas!$B$3</f>
        <v>39.9</v>
      </c>
      <c r="D340" s="17" t="n">
        <f aca="false">76.97/95*Notas!$B$3</f>
        <v>76.97</v>
      </c>
      <c r="E340" s="17" t="n">
        <f aca="false">49.77/95*Notas!$B$3</f>
        <v>49.77</v>
      </c>
      <c r="F340" s="13" t="n">
        <v>2</v>
      </c>
      <c r="G340" s="17" t="n">
        <f aca="false">76.97/95*Notas!$B$3</f>
        <v>76.97</v>
      </c>
      <c r="H340" s="17" t="n">
        <f aca="false">49.77/95*Notas!$B$3</f>
        <v>49.77</v>
      </c>
      <c r="I340" s="17" t="n">
        <f aca="false">261.5/95*Notas!$B$3</f>
        <v>261.5</v>
      </c>
      <c r="J340" s="17" t="n">
        <f aca="false">264.21/95*Notas!$B$3</f>
        <v>264.21</v>
      </c>
    </row>
    <row r="341" customFormat="false" ht="15" hidden="false" customHeight="false" outlineLevel="0" collapsed="false">
      <c r="A341" s="13" t="s">
        <v>232</v>
      </c>
      <c r="B341" s="13" t="n">
        <v>43</v>
      </c>
      <c r="C341" s="17" t="n">
        <f aca="false">B341/100*Notas!$B$3</f>
        <v>40.85</v>
      </c>
      <c r="D341" s="17" t="n">
        <f aca="false">78.63/95*Notas!$B$3</f>
        <v>78.63</v>
      </c>
      <c r="E341" s="17" t="n">
        <f aca="false">50.29/95*Notas!$B$3</f>
        <v>50.29</v>
      </c>
      <c r="F341" s="13" t="n">
        <v>2</v>
      </c>
      <c r="G341" s="17" t="n">
        <f aca="false">78.63/95*Notas!$B$3</f>
        <v>78.63</v>
      </c>
      <c r="H341" s="17" t="n">
        <f aca="false">50.29/95*Notas!$B$3</f>
        <v>50.29</v>
      </c>
      <c r="I341" s="17" t="n">
        <f aca="false">259.9/95*Notas!$B$3</f>
        <v>259.9</v>
      </c>
      <c r="J341" s="17" t="n">
        <f aca="false">266.22/95*Notas!$B$3</f>
        <v>266.22</v>
      </c>
    </row>
    <row r="342" customFormat="false" ht="15" hidden="false" customHeight="false" outlineLevel="0" collapsed="false">
      <c r="A342" s="13" t="s">
        <v>232</v>
      </c>
      <c r="B342" s="13" t="n">
        <v>44</v>
      </c>
      <c r="C342" s="17" t="n">
        <f aca="false">B342/100*Notas!$B$3</f>
        <v>41.8</v>
      </c>
      <c r="D342" s="17" t="n">
        <f aca="false">78.94/95*Notas!$B$3</f>
        <v>78.94</v>
      </c>
      <c r="E342" s="17" t="n">
        <f aca="false">50.88/95*Notas!$B$3</f>
        <v>50.88</v>
      </c>
      <c r="F342" s="13" t="n">
        <v>4</v>
      </c>
      <c r="G342" s="17" t="n">
        <f aca="false">78.94/95*Notas!$B$3</f>
        <v>78.94</v>
      </c>
      <c r="H342" s="17" t="n">
        <f aca="false">50.82/95*Notas!$B$3</f>
        <v>50.82</v>
      </c>
      <c r="I342" s="17" t="n">
        <f aca="false">242.22/95*Notas!$B$3</f>
        <v>242.22</v>
      </c>
      <c r="J342" s="17" t="n">
        <f aca="false">269.75/95*Notas!$B$3</f>
        <v>269.75</v>
      </c>
    </row>
    <row r="343" customFormat="false" ht="15" hidden="false" customHeight="false" outlineLevel="0" collapsed="false">
      <c r="A343" s="13" t="s">
        <v>232</v>
      </c>
      <c r="B343" s="13" t="n">
        <v>45</v>
      </c>
      <c r="C343" s="17" t="n">
        <f aca="false">B343/100*Notas!$B$3</f>
        <v>42.75</v>
      </c>
      <c r="D343" s="17" t="n">
        <f aca="false">78.96/95*Notas!$B$3</f>
        <v>78.96</v>
      </c>
      <c r="E343" s="17" t="n">
        <f aca="false">51.79/95*Notas!$B$3</f>
        <v>51.79</v>
      </c>
      <c r="F343" s="13" t="n">
        <v>4</v>
      </c>
      <c r="G343" s="17" t="n">
        <f aca="false">78.96/95*Notas!$B$3</f>
        <v>78.96</v>
      </c>
      <c r="H343" s="17" t="n">
        <f aca="false">51.36/95*Notas!$B$3</f>
        <v>51.36</v>
      </c>
      <c r="I343" s="17" t="n">
        <f aca="false">239.6/95*Notas!$B$3</f>
        <v>239.6</v>
      </c>
      <c r="J343" s="17" t="n">
        <f aca="false">265.47/95*Notas!$B$3</f>
        <v>265.47</v>
      </c>
    </row>
    <row r="344" customFormat="false" ht="15" hidden="false" customHeight="false" outlineLevel="0" collapsed="false">
      <c r="A344" s="13" t="s">
        <v>232</v>
      </c>
      <c r="B344" s="13" t="n">
        <v>46</v>
      </c>
      <c r="C344" s="17" t="n">
        <f aca="false">B344/100*Notas!$B$3</f>
        <v>43.7</v>
      </c>
      <c r="D344" s="17" t="n">
        <f aca="false">78.99/95*Notas!$B$3</f>
        <v>78.99</v>
      </c>
      <c r="E344" s="17" t="n">
        <f aca="false">52.78/95*Notas!$B$3</f>
        <v>52.78</v>
      </c>
      <c r="F344" s="13" t="n">
        <v>4</v>
      </c>
      <c r="G344" s="17" t="n">
        <f aca="false">78.99/95*Notas!$B$3</f>
        <v>78.99</v>
      </c>
      <c r="H344" s="17" t="n">
        <f aca="false">52.13/95*Notas!$B$3</f>
        <v>52.13</v>
      </c>
      <c r="I344" s="17" t="n">
        <f aca="false">237.29/95*Notas!$B$3</f>
        <v>237.29</v>
      </c>
      <c r="J344" s="17" t="n">
        <f aca="false">259.38/95*Notas!$B$3</f>
        <v>259.38</v>
      </c>
    </row>
    <row r="345" customFormat="false" ht="15" hidden="false" customHeight="false" outlineLevel="0" collapsed="false">
      <c r="A345" s="13" t="s">
        <v>232</v>
      </c>
      <c r="B345" s="13" t="n">
        <v>47</v>
      </c>
      <c r="C345" s="17" t="n">
        <f aca="false">B345/100*Notas!$B$3</f>
        <v>44.65</v>
      </c>
      <c r="D345" s="17" t="n">
        <f aca="false">79.02/95*Notas!$B$3</f>
        <v>79.02</v>
      </c>
      <c r="E345" s="17" t="n">
        <f aca="false">57.31/95*Notas!$B$3</f>
        <v>57.31</v>
      </c>
      <c r="F345" s="13" t="n">
        <v>3</v>
      </c>
      <c r="G345" s="17" t="n">
        <f aca="false">79.02/95*Notas!$B$3</f>
        <v>79.02</v>
      </c>
      <c r="H345" s="17" t="n">
        <f aca="false">57.31/95*Notas!$B$3</f>
        <v>57.31</v>
      </c>
      <c r="I345" s="17" t="n">
        <f aca="false">242.88/95*Notas!$B$3</f>
        <v>242.88</v>
      </c>
      <c r="J345" s="17" t="n">
        <f aca="false">267.25/95*Notas!$B$3</f>
        <v>267.25</v>
      </c>
    </row>
    <row r="346" customFormat="false" ht="15" hidden="false" customHeight="false" outlineLevel="0" collapsed="false">
      <c r="A346" s="13" t="s">
        <v>232</v>
      </c>
      <c r="B346" s="13" t="n">
        <v>48</v>
      </c>
      <c r="C346" s="17" t="n">
        <f aca="false">B346/100*Notas!$B$3</f>
        <v>45.6</v>
      </c>
      <c r="D346" s="17" t="n">
        <f aca="false">79.04/95*Notas!$B$3</f>
        <v>79.04</v>
      </c>
      <c r="E346" s="17" t="n">
        <f aca="false">57.81/95*Notas!$B$3</f>
        <v>57.81</v>
      </c>
      <c r="F346" s="13" t="n">
        <v>3</v>
      </c>
      <c r="G346" s="17" t="n">
        <f aca="false">79.04/95*Notas!$B$3</f>
        <v>79.04</v>
      </c>
      <c r="H346" s="17" t="n">
        <f aca="false">57.81/95*Notas!$B$3</f>
        <v>57.81</v>
      </c>
      <c r="I346" s="17" t="n">
        <f aca="false">242.18/95*Notas!$B$3</f>
        <v>242.18</v>
      </c>
      <c r="J346" s="17" t="n">
        <f aca="false">269.81/95*Notas!$B$3</f>
        <v>269.81</v>
      </c>
    </row>
    <row r="347" customFormat="false" ht="15" hidden="false" customHeight="false" outlineLevel="0" collapsed="false">
      <c r="A347" s="13" t="s">
        <v>232</v>
      </c>
      <c r="B347" s="13" t="n">
        <v>49</v>
      </c>
      <c r="C347" s="17" t="n">
        <f aca="false">B347/100*Notas!$B$3</f>
        <v>46.55</v>
      </c>
      <c r="D347" s="17" t="n">
        <f aca="false">79.05/95*Notas!$B$3</f>
        <v>79.05</v>
      </c>
      <c r="E347" s="17" t="n">
        <f aca="false">58.32/95*Notas!$B$3</f>
        <v>58.32</v>
      </c>
      <c r="F347" s="13" t="n">
        <v>3</v>
      </c>
      <c r="G347" s="17" t="n">
        <f aca="false">79.05/95*Notas!$B$3</f>
        <v>79.05</v>
      </c>
      <c r="H347" s="17" t="n">
        <f aca="false">58.32/95*Notas!$B$3</f>
        <v>58.32</v>
      </c>
      <c r="I347" s="17" t="n">
        <f aca="false">243.18/95*Notas!$B$3</f>
        <v>243.18</v>
      </c>
      <c r="J347" s="17" t="n">
        <f aca="false">274.14/95*Notas!$B$3</f>
        <v>274.14</v>
      </c>
    </row>
    <row r="348" customFormat="false" ht="15" hidden="false" customHeight="false" outlineLevel="0" collapsed="false">
      <c r="A348" s="13" t="s">
        <v>232</v>
      </c>
      <c r="B348" s="13" t="n">
        <v>50</v>
      </c>
      <c r="C348" s="17" t="n">
        <f aca="false">B348/100*Notas!$B$3</f>
        <v>47.5</v>
      </c>
      <c r="D348" s="17" t="n">
        <f aca="false">79.02/95*Notas!$B$3</f>
        <v>79.02</v>
      </c>
      <c r="E348" s="17" t="n">
        <f aca="false">58.79/95*Notas!$B$3</f>
        <v>58.79</v>
      </c>
      <c r="F348" s="13" t="n">
        <v>5</v>
      </c>
      <c r="G348" s="17" t="n">
        <f aca="false">79.02/95*Notas!$B$3</f>
        <v>79.02</v>
      </c>
      <c r="H348" s="17" t="n">
        <f aca="false">58.79/95*Notas!$B$3</f>
        <v>58.79</v>
      </c>
      <c r="I348" s="17" t="n">
        <f aca="false">251.77/95*Notas!$B$3</f>
        <v>251.77</v>
      </c>
      <c r="J348" s="17" t="n">
        <f aca="false">296.12/95*Notas!$B$3</f>
        <v>296.12</v>
      </c>
    </row>
    <row r="349" customFormat="false" ht="15" hidden="false" customHeight="false" outlineLevel="0" collapsed="false">
      <c r="A349" s="13" t="s">
        <v>232</v>
      </c>
      <c r="B349" s="13" t="n">
        <v>51</v>
      </c>
      <c r="C349" s="17" t="n">
        <f aca="false">B349/100*Notas!$B$3</f>
        <v>48.45</v>
      </c>
      <c r="D349" s="17" t="n">
        <f aca="false">79/95*Notas!$B$3</f>
        <v>79</v>
      </c>
      <c r="E349" s="17" t="n">
        <f aca="false">59.24/95*Notas!$B$3</f>
        <v>59.24</v>
      </c>
      <c r="F349" s="13" t="n">
        <v>5</v>
      </c>
      <c r="G349" s="17" t="n">
        <f aca="false">79/95*Notas!$B$3</f>
        <v>79</v>
      </c>
      <c r="H349" s="17" t="n">
        <f aca="false">59.24/95*Notas!$B$3</f>
        <v>59.24</v>
      </c>
      <c r="I349" s="17" t="n">
        <f aca="false">259.97/95*Notas!$B$3</f>
        <v>259.97</v>
      </c>
      <c r="J349" s="17" t="n">
        <f aca="false">305.07/95*Notas!$B$3</f>
        <v>305.07</v>
      </c>
    </row>
    <row r="350" customFormat="false" ht="15" hidden="false" customHeight="false" outlineLevel="0" collapsed="false">
      <c r="A350" s="13" t="s">
        <v>232</v>
      </c>
      <c r="B350" s="13" t="n">
        <v>52</v>
      </c>
      <c r="C350" s="17" t="n">
        <f aca="false">B350/100*Notas!$B$3</f>
        <v>49.4</v>
      </c>
      <c r="D350" s="17" t="n">
        <f aca="false">78.94/95*Notas!$B$3</f>
        <v>78.94</v>
      </c>
      <c r="E350" s="17" t="n">
        <f aca="false">59.43/95*Notas!$B$3</f>
        <v>59.43</v>
      </c>
      <c r="F350" s="13" t="n">
        <v>5</v>
      </c>
      <c r="G350" s="17" t="n">
        <f aca="false">78.94/95*Notas!$B$3</f>
        <v>78.94</v>
      </c>
      <c r="H350" s="17" t="n">
        <f aca="false">59.43/95*Notas!$B$3</f>
        <v>59.43</v>
      </c>
      <c r="I350" s="17" t="n">
        <f aca="false">252.17/95*Notas!$B$3</f>
        <v>252.17</v>
      </c>
      <c r="J350" s="17" t="n">
        <f aca="false">303.95/95*Notas!$B$3</f>
        <v>303.95</v>
      </c>
    </row>
    <row r="351" customFormat="false" ht="15" hidden="false" customHeight="false" outlineLevel="0" collapsed="false">
      <c r="A351" s="13" t="s">
        <v>232</v>
      </c>
      <c r="B351" s="13" t="n">
        <v>53</v>
      </c>
      <c r="C351" s="17" t="n">
        <f aca="false">B351/100*Notas!$B$3</f>
        <v>50.35</v>
      </c>
      <c r="D351" s="17" t="n">
        <f aca="false">78.2/95*Notas!$B$3</f>
        <v>78.2</v>
      </c>
      <c r="E351" s="17" t="n">
        <f aca="false">59.89/95*Notas!$B$3</f>
        <v>59.89</v>
      </c>
      <c r="F351" s="13" t="n">
        <v>5</v>
      </c>
      <c r="G351" s="17" t="n">
        <f aca="false">78.2/95*Notas!$B$3</f>
        <v>78.2</v>
      </c>
      <c r="H351" s="17" t="n">
        <f aca="false">56/95*Notas!$B$3</f>
        <v>56</v>
      </c>
      <c r="I351" s="17" t="n">
        <f aca="false">241.98/95*Notas!$B$3</f>
        <v>241.98</v>
      </c>
      <c r="J351" s="17" t="n">
        <f aca="false">300.29/95*Notas!$B$3</f>
        <v>300.29</v>
      </c>
    </row>
    <row r="352" customFormat="false" ht="15" hidden="false" customHeight="false" outlineLevel="0" collapsed="false">
      <c r="A352" s="13" t="s">
        <v>232</v>
      </c>
      <c r="B352" s="13" t="n">
        <v>54</v>
      </c>
      <c r="C352" s="17" t="n">
        <f aca="false">B352/100*Notas!$B$3</f>
        <v>51.3</v>
      </c>
      <c r="D352" s="17" t="n">
        <f aca="false">76.14/95*Notas!$B$3</f>
        <v>76.14</v>
      </c>
      <c r="E352" s="17" t="n">
        <f aca="false">60.91/95*Notas!$B$3</f>
        <v>60.91</v>
      </c>
      <c r="F352" s="13" t="n">
        <v>5</v>
      </c>
      <c r="G352" s="17" t="n">
        <f aca="false">76.14/95*Notas!$B$3</f>
        <v>76.14</v>
      </c>
      <c r="H352" s="17" t="n">
        <f aca="false">56.57/95*Notas!$B$3</f>
        <v>56.57</v>
      </c>
      <c r="I352" s="17" t="n">
        <f aca="false">235.74/95*Notas!$B$3</f>
        <v>235.74</v>
      </c>
      <c r="J352" s="17" t="n">
        <f aca="false">301.13/95*Notas!$B$3</f>
        <v>301.13</v>
      </c>
    </row>
    <row r="353" customFormat="false" ht="15" hidden="false" customHeight="false" outlineLevel="0" collapsed="false">
      <c r="A353" s="13" t="s">
        <v>232</v>
      </c>
      <c r="B353" s="13" t="n">
        <v>55</v>
      </c>
      <c r="C353" s="17" t="n">
        <f aca="false">B353/100*Notas!$B$3</f>
        <v>52.25</v>
      </c>
      <c r="D353" s="17" t="n">
        <f aca="false">73.13/95*Notas!$B$3</f>
        <v>73.13</v>
      </c>
      <c r="E353" s="17" t="n">
        <f aca="false">61.96/95*Notas!$B$3</f>
        <v>61.96</v>
      </c>
      <c r="F353" s="13" t="n">
        <v>5</v>
      </c>
      <c r="G353" s="17" t="n">
        <f aca="false">73.13/95*Notas!$B$3</f>
        <v>73.13</v>
      </c>
      <c r="H353" s="17" t="n">
        <f aca="false">57.16/95*Notas!$B$3</f>
        <v>57.16</v>
      </c>
      <c r="I353" s="17" t="n">
        <f aca="false">230.18/95*Notas!$B$3</f>
        <v>230.18</v>
      </c>
      <c r="J353" s="17" t="n">
        <f aca="false">303.24/95*Notas!$B$3</f>
        <v>303.24</v>
      </c>
    </row>
    <row r="354" customFormat="false" ht="15" hidden="false" customHeight="false" outlineLevel="0" collapsed="false">
      <c r="A354" s="13" t="s">
        <v>232</v>
      </c>
      <c r="B354" s="13" t="n">
        <v>56</v>
      </c>
      <c r="C354" s="17" t="n">
        <f aca="false">B354/100*Notas!$B$3</f>
        <v>53.2</v>
      </c>
      <c r="D354" s="17" t="n">
        <f aca="false">75.12/95*Notas!$B$3</f>
        <v>75.12</v>
      </c>
      <c r="E354" s="17" t="n">
        <f aca="false">63.08/95*Notas!$B$3</f>
        <v>63.08</v>
      </c>
      <c r="F354" s="13" t="n">
        <v>4</v>
      </c>
      <c r="G354" s="17" t="n">
        <f aca="false">75.12/95*Notas!$B$3</f>
        <v>75.12</v>
      </c>
      <c r="H354" s="17" t="n">
        <f aca="false">57.85/95*Notas!$B$3</f>
        <v>57.85</v>
      </c>
      <c r="I354" s="17" t="n">
        <f aca="false">257.94/95*Notas!$B$3</f>
        <v>257.94</v>
      </c>
      <c r="J354" s="17" t="n">
        <f aca="false">320.28/95*Notas!$B$3</f>
        <v>320.28</v>
      </c>
    </row>
    <row r="355" customFormat="false" ht="15" hidden="false" customHeight="false" outlineLevel="0" collapsed="false">
      <c r="A355" s="13" t="s">
        <v>232</v>
      </c>
      <c r="B355" s="13" t="n">
        <v>57</v>
      </c>
      <c r="C355" s="17" t="n">
        <f aca="false">B355/100*Notas!$B$3</f>
        <v>54.15</v>
      </c>
      <c r="D355" s="17" t="n">
        <f aca="false">76.9/95*Notas!$B$3</f>
        <v>76.9</v>
      </c>
      <c r="E355" s="17" t="n">
        <f aca="false">64.17/95*Notas!$B$3</f>
        <v>64.17</v>
      </c>
      <c r="F355" s="13" t="n">
        <v>3</v>
      </c>
      <c r="G355" s="17" t="n">
        <f aca="false">76.9/95*Notas!$B$3</f>
        <v>76.9</v>
      </c>
      <c r="H355" s="17" t="n">
        <f aca="false">58.54/95*Notas!$B$3</f>
        <v>58.54</v>
      </c>
      <c r="I355" s="17" t="n">
        <f aca="false">281.58/95*Notas!$B$3</f>
        <v>281.58</v>
      </c>
      <c r="J355" s="17" t="n">
        <f aca="false">341.14/95*Notas!$B$3</f>
        <v>341.14</v>
      </c>
    </row>
    <row r="356" customFormat="false" ht="15" hidden="false" customHeight="false" outlineLevel="0" collapsed="false">
      <c r="A356" s="13" t="s">
        <v>232</v>
      </c>
      <c r="B356" s="13" t="n">
        <v>58</v>
      </c>
      <c r="C356" s="17" t="n">
        <f aca="false">B356/100*Notas!$B$3</f>
        <v>55.1</v>
      </c>
      <c r="D356" s="17" t="n">
        <f aca="false">78.42/95*Notas!$B$3</f>
        <v>78.42</v>
      </c>
      <c r="E356" s="17" t="n">
        <f aca="false">65.12/95*Notas!$B$3</f>
        <v>65.12</v>
      </c>
      <c r="F356" s="13" t="n">
        <v>3</v>
      </c>
      <c r="G356" s="17" t="n">
        <f aca="false">78.42/95*Notas!$B$3</f>
        <v>78.42</v>
      </c>
      <c r="H356" s="17" t="n">
        <f aca="false">59.1/95*Notas!$B$3</f>
        <v>59.1</v>
      </c>
      <c r="I356" s="17" t="n">
        <f aca="false">282.86/95*Notas!$B$3</f>
        <v>282.86</v>
      </c>
      <c r="J356" s="17" t="n">
        <f aca="false">345.98/95*Notas!$B$3</f>
        <v>345.98</v>
      </c>
    </row>
    <row r="357" customFormat="false" ht="15" hidden="false" customHeight="false" outlineLevel="0" collapsed="false">
      <c r="A357" s="13" t="s">
        <v>232</v>
      </c>
      <c r="B357" s="13" t="n">
        <v>59</v>
      </c>
      <c r="C357" s="17" t="n">
        <f aca="false">B357/100*Notas!$B$3</f>
        <v>56.05</v>
      </c>
      <c r="D357" s="17" t="n">
        <f aca="false">79.79/95*Notas!$B$3</f>
        <v>79.79</v>
      </c>
      <c r="E357" s="17" t="n">
        <f aca="false">65.99/95*Notas!$B$3</f>
        <v>65.99</v>
      </c>
      <c r="F357" s="13" t="n">
        <v>3</v>
      </c>
      <c r="G357" s="17" t="n">
        <f aca="false">79.79/95*Notas!$B$3</f>
        <v>79.79</v>
      </c>
      <c r="H357" s="17" t="n">
        <f aca="false">59.59/95*Notas!$B$3</f>
        <v>59.59</v>
      </c>
      <c r="I357" s="17" t="n">
        <f aca="false">282.73/95*Notas!$B$3</f>
        <v>282.73</v>
      </c>
      <c r="J357" s="17" t="n">
        <f aca="false">349.32/95*Notas!$B$3</f>
        <v>349.32</v>
      </c>
    </row>
    <row r="358" customFormat="false" ht="15" hidden="false" customHeight="false" outlineLevel="0" collapsed="false">
      <c r="A358" s="13" t="s">
        <v>232</v>
      </c>
      <c r="B358" s="13" t="n">
        <v>60</v>
      </c>
      <c r="C358" s="17" t="n">
        <f aca="false">B358/100*Notas!$B$3</f>
        <v>57</v>
      </c>
      <c r="D358" s="17" t="n">
        <f aca="false">81.02/95*Notas!$B$3</f>
        <v>81.02</v>
      </c>
      <c r="E358" s="17" t="n">
        <f aca="false">66.8/95*Notas!$B$3</f>
        <v>66.8</v>
      </c>
      <c r="F358" s="13" t="n">
        <v>3</v>
      </c>
      <c r="G358" s="17" t="n">
        <f aca="false">81.02/95*Notas!$B$3</f>
        <v>81.02</v>
      </c>
      <c r="H358" s="17" t="n">
        <f aca="false">66.8/95*Notas!$B$3</f>
        <v>66.8</v>
      </c>
      <c r="I358" s="17" t="n">
        <f aca="false">312.67/95*Notas!$B$3</f>
        <v>312.67</v>
      </c>
      <c r="J358" s="17" t="n">
        <f aca="false">353.13/95*Notas!$B$3</f>
        <v>353.13</v>
      </c>
    </row>
    <row r="359" customFormat="false" ht="15" hidden="false" customHeight="false" outlineLevel="0" collapsed="false">
      <c r="A359" s="13" t="s">
        <v>232</v>
      </c>
      <c r="B359" s="13" t="n">
        <v>61</v>
      </c>
      <c r="C359" s="17" t="n">
        <f aca="false">B359/100*Notas!$B$3</f>
        <v>57.95</v>
      </c>
      <c r="D359" s="17" t="n">
        <f aca="false">82.07/95*Notas!$B$3</f>
        <v>82.07</v>
      </c>
      <c r="E359" s="17" t="n">
        <f aca="false">67.55/95*Notas!$B$3</f>
        <v>67.55</v>
      </c>
      <c r="F359" s="13" t="n">
        <v>5</v>
      </c>
      <c r="G359" s="17" t="n">
        <f aca="false">82.07/95*Notas!$B$3</f>
        <v>82.07</v>
      </c>
      <c r="H359" s="17" t="n">
        <f aca="false">67.55/95*Notas!$B$3</f>
        <v>67.55</v>
      </c>
      <c r="I359" s="17" t="n">
        <f aca="false">298.6/95*Notas!$B$3</f>
        <v>298.6</v>
      </c>
      <c r="J359" s="17" t="n">
        <f aca="false">357.86/95*Notas!$B$3</f>
        <v>357.86</v>
      </c>
    </row>
    <row r="360" customFormat="false" ht="15" hidden="false" customHeight="false" outlineLevel="0" collapsed="false">
      <c r="A360" s="13" t="s">
        <v>232</v>
      </c>
      <c r="B360" s="13" t="n">
        <v>62</v>
      </c>
      <c r="C360" s="17" t="n">
        <f aca="false">B360/100*Notas!$B$3</f>
        <v>58.9</v>
      </c>
      <c r="D360" s="17" t="n">
        <f aca="false">83.17/95*Notas!$B$3</f>
        <v>83.17</v>
      </c>
      <c r="E360" s="17" t="n">
        <f aca="false">68.24/95*Notas!$B$3</f>
        <v>68.24</v>
      </c>
      <c r="F360" s="13" t="n">
        <v>5</v>
      </c>
      <c r="G360" s="17" t="n">
        <f aca="false">83.17/95*Notas!$B$3</f>
        <v>83.17</v>
      </c>
      <c r="H360" s="17" t="n">
        <f aca="false">68.24/95*Notas!$B$3</f>
        <v>68.24</v>
      </c>
      <c r="I360" s="17" t="n">
        <f aca="false">303.68/95*Notas!$B$3</f>
        <v>303.68</v>
      </c>
      <c r="J360" s="17" t="n">
        <f aca="false">367.06/95*Notas!$B$3</f>
        <v>367.06</v>
      </c>
    </row>
    <row r="361" customFormat="false" ht="15" hidden="false" customHeight="false" outlineLevel="0" collapsed="false">
      <c r="A361" s="13" t="s">
        <v>232</v>
      </c>
      <c r="B361" s="13" t="n">
        <v>63</v>
      </c>
      <c r="C361" s="17" t="n">
        <f aca="false">B361/100*Notas!$B$3</f>
        <v>59.85</v>
      </c>
      <c r="D361" s="17" t="n">
        <f aca="false">83.83/95*Notas!$B$3</f>
        <v>83.83</v>
      </c>
      <c r="E361" s="17" t="n">
        <f aca="false">68.76/95*Notas!$B$3</f>
        <v>68.76</v>
      </c>
      <c r="F361" s="13" t="n">
        <v>1</v>
      </c>
      <c r="G361" s="17" t="n">
        <f aca="false">83.83/95*Notas!$B$3</f>
        <v>83.83</v>
      </c>
      <c r="H361" s="17" t="n">
        <f aca="false">68.76/95*Notas!$B$3</f>
        <v>68.76</v>
      </c>
      <c r="I361" s="17" t="n">
        <f aca="false">335.78/95*Notas!$B$3</f>
        <v>335.78</v>
      </c>
      <c r="J361" s="17" t="n">
        <f aca="false">335.78/95*Notas!$B$3</f>
        <v>335.78</v>
      </c>
    </row>
    <row r="362" customFormat="false" ht="15" hidden="false" customHeight="false" outlineLevel="0" collapsed="false">
      <c r="A362" s="13" t="s">
        <v>232</v>
      </c>
      <c r="B362" s="13" t="n">
        <v>64</v>
      </c>
      <c r="C362" s="17" t="n">
        <f aca="false">B362/100*Notas!$B$3</f>
        <v>60.8</v>
      </c>
      <c r="D362" s="17" t="n">
        <f aca="false">84.15/95*Notas!$B$3</f>
        <v>84.15</v>
      </c>
      <c r="E362" s="17" t="n">
        <f aca="false">69.46/95*Notas!$B$3</f>
        <v>69.46</v>
      </c>
      <c r="F362" s="13" t="n">
        <v>1</v>
      </c>
      <c r="G362" s="17" t="n">
        <f aca="false">84.15/95*Notas!$B$3</f>
        <v>84.15</v>
      </c>
      <c r="H362" s="17" t="n">
        <f aca="false">69.46/95*Notas!$B$3</f>
        <v>69.46</v>
      </c>
      <c r="I362" s="17" t="n">
        <f aca="false">325.18/95*Notas!$B$3</f>
        <v>325.18</v>
      </c>
      <c r="J362" s="17" t="n">
        <f aca="false">325.18/95*Notas!$B$3</f>
        <v>325.18</v>
      </c>
    </row>
    <row r="363" customFormat="false" ht="15" hidden="false" customHeight="false" outlineLevel="0" collapsed="false">
      <c r="A363" s="13" t="s">
        <v>232</v>
      </c>
      <c r="B363" s="13" t="n">
        <v>65</v>
      </c>
      <c r="C363" s="17" t="n">
        <f aca="false">B363/100*Notas!$B$3</f>
        <v>61.75</v>
      </c>
      <c r="D363" s="17" t="n">
        <f aca="false">84.44/95*Notas!$B$3</f>
        <v>84.44</v>
      </c>
      <c r="E363" s="17" t="n">
        <f aca="false">70.17/95*Notas!$B$3</f>
        <v>70.17</v>
      </c>
      <c r="F363" s="13" t="n">
        <v>1</v>
      </c>
      <c r="G363" s="17" t="n">
        <f aca="false">84.44/95*Notas!$B$3</f>
        <v>84.44</v>
      </c>
      <c r="H363" s="17" t="n">
        <f aca="false">70.17/95*Notas!$B$3</f>
        <v>70.17</v>
      </c>
      <c r="I363" s="17" t="n">
        <f aca="false">321.41/95*Notas!$B$3</f>
        <v>321.41</v>
      </c>
      <c r="J363" s="17" t="n">
        <f aca="false">321.41/95*Notas!$B$3</f>
        <v>321.41</v>
      </c>
    </row>
    <row r="364" customFormat="false" ht="15" hidden="false" customHeight="false" outlineLevel="0" collapsed="false">
      <c r="A364" s="13" t="s">
        <v>232</v>
      </c>
      <c r="B364" s="13" t="n">
        <v>66</v>
      </c>
      <c r="C364" s="17" t="n">
        <f aca="false">B364/100*Notas!$B$3</f>
        <v>62.7</v>
      </c>
      <c r="D364" s="17" t="n">
        <f aca="false">84.73/95*Notas!$B$3</f>
        <v>84.73</v>
      </c>
      <c r="E364" s="17" t="n">
        <f aca="false">70.91/95*Notas!$B$3</f>
        <v>70.91</v>
      </c>
      <c r="F364" s="13" t="n">
        <v>2</v>
      </c>
      <c r="G364" s="17" t="n">
        <f aca="false">84.73/95*Notas!$B$3</f>
        <v>84.73</v>
      </c>
      <c r="H364" s="17" t="n">
        <f aca="false">70.91/95*Notas!$B$3</f>
        <v>70.91</v>
      </c>
      <c r="I364" s="17" t="n">
        <f aca="false">316.09/95*Notas!$B$3</f>
        <v>316.09</v>
      </c>
      <c r="J364" s="17" t="n">
        <f aca="false">318.28/95*Notas!$B$3</f>
        <v>318.28</v>
      </c>
    </row>
    <row r="365" customFormat="false" ht="15" hidden="false" customHeight="false" outlineLevel="0" collapsed="false">
      <c r="A365" s="13" t="s">
        <v>232</v>
      </c>
      <c r="B365" s="13" t="n">
        <v>67</v>
      </c>
      <c r="C365" s="17" t="n">
        <f aca="false">B365/100*Notas!$B$3</f>
        <v>63.65</v>
      </c>
      <c r="D365" s="17" t="n">
        <f aca="false">84.84/95*Notas!$B$3</f>
        <v>84.84</v>
      </c>
      <c r="E365" s="17" t="n">
        <f aca="false">71.64/95*Notas!$B$3</f>
        <v>71.64</v>
      </c>
      <c r="F365" s="13" t="n">
        <v>1</v>
      </c>
      <c r="G365" s="17" t="n">
        <f aca="false">84.84/95*Notas!$B$3</f>
        <v>84.84</v>
      </c>
      <c r="H365" s="17" t="n">
        <f aca="false">71.64/95*Notas!$B$3</f>
        <v>71.64</v>
      </c>
      <c r="I365" s="17" t="n">
        <f aca="false">305.63/95*Notas!$B$3</f>
        <v>305.63</v>
      </c>
      <c r="J365" s="17" t="n">
        <f aca="false">305.63/95*Notas!$B$3</f>
        <v>305.63</v>
      </c>
    </row>
    <row r="366" customFormat="false" ht="15" hidden="false" customHeight="false" outlineLevel="0" collapsed="false">
      <c r="A366" s="13" t="s">
        <v>232</v>
      </c>
      <c r="B366" s="13" t="n">
        <v>68</v>
      </c>
      <c r="C366" s="17" t="n">
        <f aca="false">B366/100*Notas!$B$3</f>
        <v>64.6</v>
      </c>
      <c r="D366" s="17" t="n">
        <f aca="false">84.81/95*Notas!$B$3</f>
        <v>84.81</v>
      </c>
      <c r="E366" s="17" t="n">
        <f aca="false">71.75/95*Notas!$B$3</f>
        <v>71.75</v>
      </c>
      <c r="F366" s="13" t="n">
        <v>1</v>
      </c>
      <c r="G366" s="17" t="n">
        <f aca="false">84.81/95*Notas!$B$3</f>
        <v>84.81</v>
      </c>
      <c r="H366" s="17" t="n">
        <f aca="false">71.75/95*Notas!$B$3</f>
        <v>71.75</v>
      </c>
      <c r="I366" s="17" t="n">
        <f aca="false">302.28/95*Notas!$B$3</f>
        <v>302.28</v>
      </c>
      <c r="J366" s="17" t="n">
        <f aca="false">302.28/95*Notas!$B$3</f>
        <v>302.28</v>
      </c>
    </row>
    <row r="367" customFormat="false" ht="15" hidden="false" customHeight="false" outlineLevel="0" collapsed="false">
      <c r="A367" s="13" t="s">
        <v>232</v>
      </c>
      <c r="B367" s="13" t="n">
        <v>69</v>
      </c>
      <c r="C367" s="17" t="n">
        <f aca="false">B367/100*Notas!$B$3</f>
        <v>65.55</v>
      </c>
      <c r="D367" s="17" t="n">
        <f aca="false">84.69/95*Notas!$B$3</f>
        <v>84.69</v>
      </c>
      <c r="E367" s="17" t="n">
        <f aca="false">71.71/95*Notas!$B$3</f>
        <v>71.71</v>
      </c>
      <c r="F367" s="13" t="n">
        <v>1</v>
      </c>
      <c r="G367" s="17" t="n">
        <f aca="false">84.69/95*Notas!$B$3</f>
        <v>84.69</v>
      </c>
      <c r="H367" s="17" t="n">
        <f aca="false">71.71/95*Notas!$B$3</f>
        <v>71.71</v>
      </c>
      <c r="I367" s="17" t="n">
        <f aca="false">298.47/95*Notas!$B$3</f>
        <v>298.47</v>
      </c>
      <c r="J367" s="17" t="n">
        <f aca="false">298.47/95*Notas!$B$3</f>
        <v>298.47</v>
      </c>
    </row>
    <row r="368" customFormat="false" ht="15" hidden="false" customHeight="false" outlineLevel="0" collapsed="false">
      <c r="A368" s="13" t="s">
        <v>232</v>
      </c>
      <c r="B368" s="13" t="n">
        <v>70</v>
      </c>
      <c r="C368" s="17" t="n">
        <f aca="false">B368/100*Notas!$B$3</f>
        <v>66.5</v>
      </c>
      <c r="D368" s="17" t="n">
        <f aca="false">85.87/95*Notas!$B$3</f>
        <v>85.87</v>
      </c>
      <c r="E368" s="17" t="n">
        <f aca="false">71.61/95*Notas!$B$3</f>
        <v>71.61</v>
      </c>
      <c r="F368" s="13" t="n">
        <v>1</v>
      </c>
      <c r="G368" s="17" t="n">
        <f aca="false">85.87/95*Notas!$B$3</f>
        <v>85.87</v>
      </c>
      <c r="H368" s="17" t="n">
        <f aca="false">71.61/95*Notas!$B$3</f>
        <v>71.61</v>
      </c>
      <c r="I368" s="17" t="n">
        <f aca="false">297.9/95*Notas!$B$3</f>
        <v>297.9</v>
      </c>
      <c r="J368" s="17" t="n">
        <f aca="false">297.9/95*Notas!$B$3</f>
        <v>297.9</v>
      </c>
    </row>
    <row r="369" customFormat="false" ht="15" hidden="false" customHeight="false" outlineLevel="0" collapsed="false">
      <c r="A369" s="13" t="s">
        <v>232</v>
      </c>
      <c r="B369" s="13" t="n">
        <v>71</v>
      </c>
      <c r="C369" s="17" t="n">
        <f aca="false">B369/100*Notas!$B$3</f>
        <v>67.45</v>
      </c>
      <c r="D369" s="17" t="n">
        <f aca="false">87.12/95*Notas!$B$3</f>
        <v>87.12</v>
      </c>
      <c r="E369" s="17" t="n">
        <f aca="false">71.45/95*Notas!$B$3</f>
        <v>71.45</v>
      </c>
      <c r="F369" s="13" t="n">
        <v>1</v>
      </c>
      <c r="G369" s="17" t="n">
        <f aca="false">87.12/95*Notas!$B$3</f>
        <v>87.12</v>
      </c>
      <c r="H369" s="17" t="n">
        <f aca="false">71.45/95*Notas!$B$3</f>
        <v>71.45</v>
      </c>
      <c r="I369" s="17" t="n">
        <f aca="false">295.69/95*Notas!$B$3</f>
        <v>295.69</v>
      </c>
      <c r="J369" s="17" t="n">
        <f aca="false">295.69/95*Notas!$B$3</f>
        <v>295.69</v>
      </c>
    </row>
    <row r="370" customFormat="false" ht="15" hidden="false" customHeight="false" outlineLevel="0" collapsed="false">
      <c r="A370" s="13" t="s">
        <v>232</v>
      </c>
      <c r="B370" s="13" t="n">
        <v>72</v>
      </c>
      <c r="C370" s="17" t="n">
        <f aca="false">B370/100*Notas!$B$3</f>
        <v>68.4</v>
      </c>
      <c r="D370" s="17" t="n">
        <f aca="false">88.29/95*Notas!$B$3</f>
        <v>88.29</v>
      </c>
      <c r="E370" s="17" t="n">
        <f aca="false">71.14/95*Notas!$B$3</f>
        <v>71.14</v>
      </c>
      <c r="F370" s="13" t="n">
        <v>1</v>
      </c>
      <c r="G370" s="17" t="n">
        <f aca="false">88.29/95*Notas!$B$3</f>
        <v>88.29</v>
      </c>
      <c r="H370" s="17" t="n">
        <f aca="false">71.14/95*Notas!$B$3</f>
        <v>71.14</v>
      </c>
      <c r="I370" s="17" t="n">
        <f aca="false">297.39/95*Notas!$B$3</f>
        <v>297.39</v>
      </c>
      <c r="J370" s="17" t="n">
        <f aca="false">297.39/95*Notas!$B$3</f>
        <v>297.39</v>
      </c>
    </row>
    <row r="371" customFormat="false" ht="15" hidden="false" customHeight="false" outlineLevel="0" collapsed="false">
      <c r="A371" s="13" t="s">
        <v>232</v>
      </c>
      <c r="B371" s="13" t="n">
        <v>73</v>
      </c>
      <c r="C371" s="17" t="n">
        <f aca="false">B371/100*Notas!$B$3</f>
        <v>69.35</v>
      </c>
      <c r="D371" s="17" t="n">
        <f aca="false">89.23/95*Notas!$B$3</f>
        <v>89.23</v>
      </c>
      <c r="E371" s="17" t="n">
        <f aca="false">70.27/95*Notas!$B$3</f>
        <v>70.27</v>
      </c>
      <c r="F371" s="13" t="n">
        <v>1</v>
      </c>
      <c r="G371" s="17" t="n">
        <f aca="false">89.23/95*Notas!$B$3</f>
        <v>89.23</v>
      </c>
      <c r="H371" s="17" t="n">
        <f aca="false">70.27/95*Notas!$B$3</f>
        <v>70.27</v>
      </c>
      <c r="I371" s="17" t="n">
        <f aca="false">297.91/95*Notas!$B$3</f>
        <v>297.91</v>
      </c>
      <c r="J371" s="17" t="n">
        <f aca="false">297.91/95*Notas!$B$3</f>
        <v>297.91</v>
      </c>
    </row>
    <row r="372" customFormat="false" ht="15" hidden="false" customHeight="false" outlineLevel="0" collapsed="false">
      <c r="A372" s="13" t="s">
        <v>232</v>
      </c>
      <c r="B372" s="13" t="n">
        <v>74</v>
      </c>
      <c r="C372" s="17" t="n">
        <f aca="false">B372/100*Notas!$B$3</f>
        <v>70.3</v>
      </c>
      <c r="D372" s="17" t="n">
        <f aca="false">89.38/95*Notas!$B$3</f>
        <v>89.38</v>
      </c>
      <c r="E372" s="17" t="n">
        <f aca="false">69.4/95*Notas!$B$3</f>
        <v>69.4</v>
      </c>
      <c r="F372" s="13" t="n">
        <v>1</v>
      </c>
      <c r="G372" s="17" t="n">
        <f aca="false">89.38/95*Notas!$B$3</f>
        <v>89.38</v>
      </c>
      <c r="H372" s="17" t="n">
        <f aca="false">69.4/95*Notas!$B$3</f>
        <v>69.4</v>
      </c>
      <c r="I372" s="17" t="n">
        <f aca="false">297.01/95*Notas!$B$3</f>
        <v>297.01</v>
      </c>
      <c r="J372" s="17" t="n">
        <f aca="false">297.01/95*Notas!$B$3</f>
        <v>297.01</v>
      </c>
    </row>
    <row r="373" customFormat="false" ht="15" hidden="false" customHeight="false" outlineLevel="0" collapsed="false">
      <c r="A373" s="13" t="s">
        <v>232</v>
      </c>
      <c r="B373" s="13" t="n">
        <v>75</v>
      </c>
      <c r="C373" s="17" t="n">
        <f aca="false">B373/100*Notas!$B$3</f>
        <v>71.25</v>
      </c>
      <c r="D373" s="17" t="n">
        <f aca="false">89.5/95*Notas!$B$3</f>
        <v>89.5</v>
      </c>
      <c r="E373" s="17" t="n">
        <f aca="false">68.55/95*Notas!$B$3</f>
        <v>68.55</v>
      </c>
      <c r="F373" s="13" t="n">
        <v>1</v>
      </c>
      <c r="G373" s="17" t="n">
        <f aca="false">89.5/95*Notas!$B$3</f>
        <v>89.5</v>
      </c>
      <c r="H373" s="17" t="n">
        <f aca="false">68.55/95*Notas!$B$3</f>
        <v>68.55</v>
      </c>
      <c r="I373" s="17" t="n">
        <f aca="false">297.42/95*Notas!$B$3</f>
        <v>297.42</v>
      </c>
      <c r="J373" s="17" t="n">
        <f aca="false">297.42/95*Notas!$B$3</f>
        <v>297.42</v>
      </c>
    </row>
    <row r="374" customFormat="false" ht="15" hidden="false" customHeight="false" outlineLevel="0" collapsed="false">
      <c r="A374" s="13" t="s">
        <v>232</v>
      </c>
      <c r="B374" s="13" t="n">
        <v>76</v>
      </c>
      <c r="C374" s="17" t="n">
        <f aca="false">B374/100*Notas!$B$3</f>
        <v>72.2</v>
      </c>
      <c r="D374" s="17" t="n">
        <f aca="false">89.02/95*Notas!$B$3</f>
        <v>89.02</v>
      </c>
      <c r="E374" s="17" t="n">
        <f aca="false">67.65/95*Notas!$B$3</f>
        <v>67.65</v>
      </c>
      <c r="F374" s="13" t="n">
        <v>2</v>
      </c>
      <c r="G374" s="17" t="n">
        <f aca="false">89.02/95*Notas!$B$3</f>
        <v>89.02</v>
      </c>
      <c r="H374" s="17" t="n">
        <f aca="false">67.65/95*Notas!$B$3</f>
        <v>67.65</v>
      </c>
      <c r="I374" s="17" t="n">
        <f aca="false">285.52/95*Notas!$B$3</f>
        <v>285.52</v>
      </c>
      <c r="J374" s="17" t="n">
        <f aca="false">293.39/95*Notas!$B$3</f>
        <v>293.39</v>
      </c>
    </row>
    <row r="375" customFormat="false" ht="15" hidden="false" customHeight="false" outlineLevel="0" collapsed="false">
      <c r="A375" s="13" t="s">
        <v>232</v>
      </c>
      <c r="B375" s="13" t="n">
        <v>77</v>
      </c>
      <c r="C375" s="17" t="n">
        <f aca="false">B375/100*Notas!$B$3</f>
        <v>73.15</v>
      </c>
      <c r="D375" s="17" t="n">
        <f aca="false">87.27/95*Notas!$B$3</f>
        <v>87.27</v>
      </c>
      <c r="E375" s="17" t="n">
        <f aca="false">66.8/95*Notas!$B$3</f>
        <v>66.8</v>
      </c>
      <c r="F375" s="13" t="n">
        <v>1</v>
      </c>
      <c r="G375" s="17" t="n">
        <f aca="false">87.27/95*Notas!$B$3</f>
        <v>87.27</v>
      </c>
      <c r="H375" s="17" t="n">
        <f aca="false">66.8/95*Notas!$B$3</f>
        <v>66.8</v>
      </c>
      <c r="I375" s="17" t="n">
        <f aca="false">283.36/95*Notas!$B$3</f>
        <v>283.36</v>
      </c>
      <c r="J375" s="17" t="n">
        <f aca="false">283.36/95*Notas!$B$3</f>
        <v>283.36</v>
      </c>
    </row>
    <row r="376" customFormat="false" ht="15" hidden="false" customHeight="false" outlineLevel="0" collapsed="false">
      <c r="A376" s="13" t="s">
        <v>232</v>
      </c>
      <c r="B376" s="13" t="n">
        <v>78</v>
      </c>
      <c r="C376" s="17" t="n">
        <f aca="false">B376/100*Notas!$B$3</f>
        <v>74.1</v>
      </c>
      <c r="D376" s="17" t="n">
        <f aca="false">85.5/95*Notas!$B$3</f>
        <v>85.5</v>
      </c>
      <c r="E376" s="17" t="n">
        <f aca="false">66/95*Notas!$B$3</f>
        <v>66</v>
      </c>
      <c r="F376" s="13" t="n">
        <v>1</v>
      </c>
      <c r="G376" s="17" t="n">
        <f aca="false">85.5/95*Notas!$B$3</f>
        <v>85.5</v>
      </c>
      <c r="H376" s="17" t="n">
        <f aca="false">66/95*Notas!$B$3</f>
        <v>66</v>
      </c>
      <c r="I376" s="17" t="n">
        <f aca="false">283.3/95*Notas!$B$3</f>
        <v>283.3</v>
      </c>
      <c r="J376" s="17" t="n">
        <f aca="false">283.3/95*Notas!$B$3</f>
        <v>283.3</v>
      </c>
    </row>
    <row r="377" customFormat="false" ht="15" hidden="false" customHeight="false" outlineLevel="0" collapsed="false">
      <c r="A377" s="13" t="s">
        <v>232</v>
      </c>
      <c r="B377" s="13" t="n">
        <v>79</v>
      </c>
      <c r="C377" s="17" t="n">
        <f aca="false">B377/100*Notas!$B$3</f>
        <v>75.05</v>
      </c>
      <c r="D377" s="17" t="n">
        <f aca="false">83.71/95*Notas!$B$3</f>
        <v>83.71</v>
      </c>
      <c r="E377" s="17" t="n">
        <f aca="false">65.18/95*Notas!$B$3</f>
        <v>65.18</v>
      </c>
      <c r="F377" s="13" t="n">
        <v>1</v>
      </c>
      <c r="G377" s="17" t="n">
        <f aca="false">83.71/95*Notas!$B$3</f>
        <v>83.71</v>
      </c>
      <c r="H377" s="17" t="n">
        <f aca="false">65.18/95*Notas!$B$3</f>
        <v>65.18</v>
      </c>
      <c r="I377" s="17" t="n">
        <f aca="false">281.18/95*Notas!$B$3</f>
        <v>281.18</v>
      </c>
      <c r="J377" s="17" t="n">
        <f aca="false">281.18/95*Notas!$B$3</f>
        <v>281.18</v>
      </c>
    </row>
    <row r="378" customFormat="false" ht="15" hidden="false" customHeight="false" outlineLevel="0" collapsed="false">
      <c r="A378" s="13" t="s">
        <v>232</v>
      </c>
      <c r="B378" s="13" t="n">
        <v>80</v>
      </c>
      <c r="C378" s="17" t="n">
        <f aca="false">B378/100*Notas!$B$3</f>
        <v>76</v>
      </c>
      <c r="D378" s="17" t="n">
        <f aca="false">81.9/95*Notas!$B$3</f>
        <v>81.9</v>
      </c>
      <c r="E378" s="17" t="n">
        <f aca="false">64.32/95*Notas!$B$3</f>
        <v>64.32</v>
      </c>
      <c r="F378" s="13" t="n">
        <v>1</v>
      </c>
      <c r="G378" s="17" t="n">
        <f aca="false">81.9/95*Notas!$B$3</f>
        <v>81.9</v>
      </c>
      <c r="H378" s="17" t="n">
        <f aca="false">64.32/95*Notas!$B$3</f>
        <v>64.32</v>
      </c>
      <c r="I378" s="17" t="n">
        <f aca="false">278.31/95*Notas!$B$3</f>
        <v>278.31</v>
      </c>
      <c r="J378" s="17" t="n">
        <f aca="false">278.31/95*Notas!$B$3</f>
        <v>278.31</v>
      </c>
    </row>
    <row r="379" customFormat="false" ht="15" hidden="false" customHeight="false" outlineLevel="0" collapsed="false">
      <c r="A379" s="13" t="s">
        <v>232</v>
      </c>
      <c r="B379" s="13" t="n">
        <v>81</v>
      </c>
      <c r="C379" s="17" t="n">
        <f aca="false">B379/100*Notas!$B$3</f>
        <v>76.95</v>
      </c>
      <c r="D379" s="17" t="n">
        <f aca="false">79.99/95*Notas!$B$3</f>
        <v>79.99</v>
      </c>
      <c r="E379" s="17" t="n">
        <f aca="false">63.29/95*Notas!$B$3</f>
        <v>63.29</v>
      </c>
      <c r="F379" s="13" t="n">
        <v>1</v>
      </c>
      <c r="G379" s="17" t="n">
        <f aca="false">79.99/95*Notas!$B$3</f>
        <v>79.99</v>
      </c>
      <c r="H379" s="17" t="n">
        <f aca="false">63.29/95*Notas!$B$3</f>
        <v>63.29</v>
      </c>
      <c r="I379" s="17" t="n">
        <f aca="false">275.72/95*Notas!$B$3</f>
        <v>275.72</v>
      </c>
      <c r="J379" s="17" t="n">
        <f aca="false">275.72/95*Notas!$B$3</f>
        <v>275.72</v>
      </c>
    </row>
    <row r="380" customFormat="false" ht="15" hidden="false" customHeight="false" outlineLevel="0" collapsed="false">
      <c r="A380" s="13" t="s">
        <v>232</v>
      </c>
      <c r="B380" s="13" t="n">
        <v>82</v>
      </c>
      <c r="C380" s="17" t="n">
        <f aca="false">B380/100*Notas!$B$3</f>
        <v>77.9</v>
      </c>
      <c r="D380" s="17" t="n">
        <f aca="false">78.5/95*Notas!$B$3</f>
        <v>78.5</v>
      </c>
      <c r="E380" s="17" t="n">
        <f aca="false">61.67/95*Notas!$B$3</f>
        <v>61.67</v>
      </c>
      <c r="F380" s="13" t="n">
        <v>1</v>
      </c>
      <c r="G380" s="17" t="n">
        <f aca="false">78.5/95*Notas!$B$3</f>
        <v>78.5</v>
      </c>
      <c r="H380" s="17" t="n">
        <f aca="false">61.67/95*Notas!$B$3</f>
        <v>61.67</v>
      </c>
      <c r="I380" s="17" t="n">
        <f aca="false">274.68/95*Notas!$B$3</f>
        <v>274.68</v>
      </c>
      <c r="J380" s="17" t="n">
        <f aca="false">274.68/95*Notas!$B$3</f>
        <v>274.68</v>
      </c>
    </row>
    <row r="381" customFormat="false" ht="15" hidden="false" customHeight="false" outlineLevel="0" collapsed="false">
      <c r="A381" s="13" t="s">
        <v>232</v>
      </c>
      <c r="B381" s="13" t="n">
        <v>83</v>
      </c>
      <c r="C381" s="17" t="n">
        <f aca="false">B381/100*Notas!$B$3</f>
        <v>78.85</v>
      </c>
      <c r="D381" s="17" t="n">
        <f aca="false">77.95/95*Notas!$B$3</f>
        <v>77.95</v>
      </c>
      <c r="E381" s="17" t="n">
        <f aca="false">59.99/95*Notas!$B$3</f>
        <v>59.99</v>
      </c>
      <c r="F381" s="13" t="n">
        <v>1</v>
      </c>
      <c r="G381" s="17" t="n">
        <f aca="false">77.95/95*Notas!$B$3</f>
        <v>77.95</v>
      </c>
      <c r="H381" s="17" t="n">
        <f aca="false">59.99/95*Notas!$B$3</f>
        <v>59.99</v>
      </c>
      <c r="I381" s="17" t="n">
        <f aca="false">269.78/95*Notas!$B$3</f>
        <v>269.78</v>
      </c>
      <c r="J381" s="17" t="n">
        <f aca="false">269.78/95*Notas!$B$3</f>
        <v>269.78</v>
      </c>
    </row>
    <row r="382" customFormat="false" ht="15" hidden="false" customHeight="false" outlineLevel="0" collapsed="false">
      <c r="A382" s="13" t="s">
        <v>232</v>
      </c>
      <c r="B382" s="13" t="n">
        <v>84</v>
      </c>
      <c r="C382" s="17" t="n">
        <f aca="false">B382/100*Notas!$B$3</f>
        <v>79.8</v>
      </c>
      <c r="D382" s="17" t="n">
        <f aca="false">77.27/95*Notas!$B$3</f>
        <v>77.27</v>
      </c>
      <c r="E382" s="17" t="n">
        <f aca="false">58.26/95*Notas!$B$3</f>
        <v>58.26</v>
      </c>
      <c r="F382" s="13" t="n">
        <v>1</v>
      </c>
      <c r="G382" s="17" t="n">
        <f aca="false">77.27/95*Notas!$B$3</f>
        <v>77.27</v>
      </c>
      <c r="H382" s="17" t="n">
        <f aca="false">58.26/95*Notas!$B$3</f>
        <v>58.26</v>
      </c>
      <c r="I382" s="17" t="n">
        <f aca="false">264.41/95*Notas!$B$3</f>
        <v>264.41</v>
      </c>
      <c r="J382" s="17" t="n">
        <f aca="false">264.41/95*Notas!$B$3</f>
        <v>264.41</v>
      </c>
    </row>
    <row r="383" customFormat="false" ht="15" hidden="false" customHeight="false" outlineLevel="0" collapsed="false">
      <c r="A383" s="13" t="s">
        <v>232</v>
      </c>
      <c r="B383" s="13" t="n">
        <v>85</v>
      </c>
      <c r="C383" s="17" t="n">
        <f aca="false">B383/100*Notas!$B$3</f>
        <v>80.75</v>
      </c>
      <c r="D383" s="17" t="n">
        <f aca="false">75.91/95*Notas!$B$3</f>
        <v>75.91</v>
      </c>
      <c r="E383" s="17" t="n">
        <f aca="false">56.76/95*Notas!$B$3</f>
        <v>56.76</v>
      </c>
      <c r="F383" s="13" t="n">
        <v>1</v>
      </c>
      <c r="G383" s="17" t="n">
        <f aca="false">75.91/95*Notas!$B$3</f>
        <v>75.91</v>
      </c>
      <c r="H383" s="17" t="n">
        <f aca="false">56.76/95*Notas!$B$3</f>
        <v>56.76</v>
      </c>
      <c r="I383" s="17" t="n">
        <f aca="false">256.98/95*Notas!$B$3</f>
        <v>256.98</v>
      </c>
      <c r="J383" s="17" t="n">
        <f aca="false">256.98/95*Notas!$B$3</f>
        <v>256.98</v>
      </c>
    </row>
    <row r="384" customFormat="false" ht="15" hidden="false" customHeight="false" outlineLevel="0" collapsed="false">
      <c r="A384" s="13" t="s">
        <v>232</v>
      </c>
      <c r="B384" s="13" t="n">
        <v>86</v>
      </c>
      <c r="C384" s="17" t="n">
        <f aca="false">B384/100*Notas!$B$3</f>
        <v>81.7</v>
      </c>
      <c r="D384" s="17" t="n">
        <f aca="false">73.98/95*Notas!$B$3</f>
        <v>73.98</v>
      </c>
      <c r="E384" s="17" t="n">
        <f aca="false">55.06/95*Notas!$B$3</f>
        <v>55.06</v>
      </c>
      <c r="F384" s="13" t="n">
        <v>1</v>
      </c>
      <c r="G384" s="17" t="n">
        <f aca="false">73.98/95*Notas!$B$3</f>
        <v>73.98</v>
      </c>
      <c r="H384" s="17" t="n">
        <f aca="false">55.06/95*Notas!$B$3</f>
        <v>55.06</v>
      </c>
      <c r="I384" s="17" t="n">
        <f aca="false">252.7/95*Notas!$B$3</f>
        <v>252.7</v>
      </c>
      <c r="J384" s="17" t="n">
        <f aca="false">252.7/95*Notas!$B$3</f>
        <v>252.7</v>
      </c>
    </row>
    <row r="385" customFormat="false" ht="15" hidden="false" customHeight="false" outlineLevel="0" collapsed="false">
      <c r="A385" s="13" t="s">
        <v>232</v>
      </c>
      <c r="B385" s="13" t="n">
        <v>87</v>
      </c>
      <c r="C385" s="17" t="n">
        <f aca="false">B385/100*Notas!$B$3</f>
        <v>82.65</v>
      </c>
      <c r="D385" s="17" t="n">
        <f aca="false">72/95*Notas!$B$3</f>
        <v>72</v>
      </c>
      <c r="E385" s="17" t="n">
        <f aca="false">53.36/95*Notas!$B$3</f>
        <v>53.36</v>
      </c>
      <c r="F385" s="13" t="n">
        <v>1</v>
      </c>
      <c r="G385" s="17" t="n">
        <f aca="false">72/95*Notas!$B$3</f>
        <v>72</v>
      </c>
      <c r="H385" s="17" t="n">
        <f aca="false">53.36/95*Notas!$B$3</f>
        <v>53.36</v>
      </c>
      <c r="I385" s="17" t="n">
        <f aca="false">251.05/95*Notas!$B$3</f>
        <v>251.05</v>
      </c>
      <c r="J385" s="17" t="n">
        <f aca="false">251.05/95*Notas!$B$3</f>
        <v>251.05</v>
      </c>
    </row>
    <row r="386" customFormat="false" ht="15" hidden="false" customHeight="false" outlineLevel="0" collapsed="false">
      <c r="A386" s="13" t="s">
        <v>232</v>
      </c>
      <c r="B386" s="13" t="n">
        <v>88</v>
      </c>
      <c r="C386" s="17" t="n">
        <f aca="false">B386/100*Notas!$B$3</f>
        <v>83.6</v>
      </c>
      <c r="D386" s="17" t="n">
        <f aca="false">69.94/95*Notas!$B$3</f>
        <v>69.94</v>
      </c>
      <c r="E386" s="17" t="n">
        <f aca="false">51.68/95*Notas!$B$3</f>
        <v>51.68</v>
      </c>
      <c r="F386" s="13" t="n">
        <v>2</v>
      </c>
      <c r="G386" s="17" t="n">
        <f aca="false">69.94/95*Notas!$B$3</f>
        <v>69.94</v>
      </c>
      <c r="H386" s="17" t="n">
        <f aca="false">51.68/95*Notas!$B$3</f>
        <v>51.68</v>
      </c>
      <c r="I386" s="17" t="n">
        <f aca="false">237.85/95*Notas!$B$3</f>
        <v>237.85</v>
      </c>
      <c r="J386" s="17" t="n">
        <f aca="false">260.32/95*Notas!$B$3</f>
        <v>260.32</v>
      </c>
    </row>
    <row r="387" customFormat="false" ht="15" hidden="false" customHeight="false" outlineLevel="0" collapsed="false">
      <c r="A387" s="13" t="s">
        <v>232</v>
      </c>
      <c r="B387" s="13" t="n">
        <v>89</v>
      </c>
      <c r="C387" s="17" t="n">
        <f aca="false">B387/100*Notas!$B$3</f>
        <v>84.55</v>
      </c>
      <c r="D387" s="17" t="n">
        <f aca="false">67.89/95*Notas!$B$3</f>
        <v>67.89</v>
      </c>
      <c r="E387" s="17" t="n">
        <f aca="false">49.43/95*Notas!$B$3</f>
        <v>49.43</v>
      </c>
      <c r="F387" s="13" t="n">
        <v>2</v>
      </c>
      <c r="G387" s="17" t="n">
        <f aca="false">67.89/95*Notas!$B$3</f>
        <v>67.89</v>
      </c>
      <c r="H387" s="17" t="n">
        <f aca="false">49.43/95*Notas!$B$3</f>
        <v>49.43</v>
      </c>
      <c r="I387" s="17" t="n">
        <f aca="false">248/95*Notas!$B$3</f>
        <v>248</v>
      </c>
      <c r="J387" s="17" t="n">
        <f aca="false">260.33/95*Notas!$B$3</f>
        <v>260.33</v>
      </c>
    </row>
    <row r="388" customFormat="false" ht="15" hidden="false" customHeight="false" outlineLevel="0" collapsed="false">
      <c r="A388" s="13" t="s">
        <v>232</v>
      </c>
      <c r="B388" s="13" t="n">
        <v>90</v>
      </c>
      <c r="C388" s="17" t="n">
        <f aca="false">B388/100*Notas!$B$3</f>
        <v>85.5</v>
      </c>
      <c r="D388" s="17" t="n">
        <f aca="false">65.84/95*Notas!$B$3</f>
        <v>65.84</v>
      </c>
      <c r="E388" s="17" t="n">
        <f aca="false">46.84/95*Notas!$B$3</f>
        <v>46.84</v>
      </c>
      <c r="F388" s="13" t="n">
        <v>2</v>
      </c>
      <c r="G388" s="17" t="n">
        <f aca="false">65.84/95*Notas!$B$3</f>
        <v>65.84</v>
      </c>
      <c r="H388" s="17" t="n">
        <f aca="false">41.04/95*Notas!$B$3</f>
        <v>41.04</v>
      </c>
      <c r="I388" s="17" t="n">
        <f aca="false">201.85/95*Notas!$B$3</f>
        <v>201.85</v>
      </c>
      <c r="J388" s="17" t="n">
        <f aca="false">211.82/95*Notas!$B$3</f>
        <v>211.82</v>
      </c>
    </row>
    <row r="389" customFormat="false" ht="15" hidden="false" customHeight="false" outlineLevel="0" collapsed="false">
      <c r="A389" s="13" t="s">
        <v>232</v>
      </c>
      <c r="B389" s="13" t="n">
        <v>91</v>
      </c>
      <c r="C389" s="17" t="n">
        <f aca="false">B389/100*Notas!$B$3</f>
        <v>86.45</v>
      </c>
      <c r="D389" s="17" t="n">
        <f aca="false">63.66/95*Notas!$B$3</f>
        <v>63.66</v>
      </c>
      <c r="E389" s="17" t="n">
        <f aca="false">39.51/95*Notas!$B$3</f>
        <v>39.51</v>
      </c>
      <c r="F389" s="13" t="n">
        <v>2</v>
      </c>
      <c r="G389" s="17" t="n">
        <f aca="false">63.66/95*Notas!$B$3</f>
        <v>63.66</v>
      </c>
      <c r="H389" s="17" t="n">
        <f aca="false">39.51/95*Notas!$B$3</f>
        <v>39.51</v>
      </c>
      <c r="I389" s="17" t="n">
        <f aca="false">198.16/95*Notas!$B$3</f>
        <v>198.16</v>
      </c>
      <c r="J389" s="17" t="n">
        <f aca="false">200.08/95*Notas!$B$3</f>
        <v>200.08</v>
      </c>
    </row>
    <row r="390" customFormat="false" ht="15" hidden="false" customHeight="false" outlineLevel="0" collapsed="false">
      <c r="A390" s="13" t="s">
        <v>232</v>
      </c>
      <c r="B390" s="13" t="n">
        <v>92</v>
      </c>
      <c r="C390" s="17" t="n">
        <f aca="false">B390/100*Notas!$B$3</f>
        <v>87.4</v>
      </c>
      <c r="D390" s="17" t="n">
        <f aca="false">61.69/95*Notas!$B$3</f>
        <v>61.69</v>
      </c>
      <c r="E390" s="17" t="n">
        <f aca="false">37.42/95*Notas!$B$3</f>
        <v>37.42</v>
      </c>
      <c r="F390" s="13" t="n">
        <v>3</v>
      </c>
      <c r="G390" s="17" t="n">
        <f aca="false">61.69/95*Notas!$B$3</f>
        <v>61.69</v>
      </c>
      <c r="H390" s="17" t="n">
        <f aca="false">37.42/95*Notas!$B$3</f>
        <v>37.42</v>
      </c>
      <c r="I390" s="17" t="n">
        <f aca="false">191.93/95*Notas!$B$3</f>
        <v>191.93</v>
      </c>
      <c r="J390" s="17" t="n">
        <f aca="false">216.86/95*Notas!$B$3</f>
        <v>216.86</v>
      </c>
    </row>
    <row r="391" customFormat="false" ht="15" hidden="false" customHeight="false" outlineLevel="0" collapsed="false">
      <c r="A391" s="13" t="s">
        <v>232</v>
      </c>
      <c r="B391" s="13" t="n">
        <v>93</v>
      </c>
      <c r="C391" s="17" t="n">
        <f aca="false">B391/100*Notas!$B$3</f>
        <v>88.35</v>
      </c>
      <c r="D391" s="17" t="n">
        <f aca="false">59.47/95*Notas!$B$3</f>
        <v>59.47</v>
      </c>
      <c r="E391" s="17" t="n">
        <f aca="false">35.39/95*Notas!$B$3</f>
        <v>35.39</v>
      </c>
      <c r="F391" s="13" t="n">
        <v>3</v>
      </c>
      <c r="G391" s="17" t="n">
        <f aca="false">59.47/95*Notas!$B$3</f>
        <v>59.47</v>
      </c>
      <c r="H391" s="17" t="n">
        <f aca="false">35.39/95*Notas!$B$3</f>
        <v>35.39</v>
      </c>
      <c r="I391" s="17" t="n">
        <f aca="false">187.65/95*Notas!$B$3</f>
        <v>187.65</v>
      </c>
      <c r="J391" s="17" t="n">
        <f aca="false">225.94/95*Notas!$B$3</f>
        <v>225.94</v>
      </c>
    </row>
    <row r="392" customFormat="false" ht="15" hidden="false" customHeight="false" outlineLevel="0" collapsed="false">
      <c r="A392" s="13" t="s">
        <v>232</v>
      </c>
      <c r="B392" s="13" t="n">
        <v>94</v>
      </c>
      <c r="C392" s="17" t="n">
        <f aca="false">B392/100*Notas!$B$3</f>
        <v>89.3</v>
      </c>
      <c r="D392" s="17" t="n">
        <f aca="false">57.16/95*Notas!$B$3</f>
        <v>57.16</v>
      </c>
      <c r="E392" s="17" t="n">
        <f aca="false">33.99/95*Notas!$B$3</f>
        <v>33.99</v>
      </c>
      <c r="F392" s="13" t="n">
        <v>2</v>
      </c>
      <c r="G392" s="17" t="n">
        <f aca="false">57.16/95*Notas!$B$3</f>
        <v>57.16</v>
      </c>
      <c r="H392" s="17" t="n">
        <f aca="false">33.99/95*Notas!$B$3</f>
        <v>33.99</v>
      </c>
      <c r="I392" s="17" t="n">
        <f aca="false">199.65/95*Notas!$B$3</f>
        <v>199.65</v>
      </c>
      <c r="J392" s="17" t="n">
        <f aca="false">232.12/95*Notas!$B$3</f>
        <v>232.12</v>
      </c>
    </row>
    <row r="393" customFormat="false" ht="15" hidden="false" customHeight="false" outlineLevel="0" collapsed="false">
      <c r="A393" s="13" t="s">
        <v>232</v>
      </c>
      <c r="B393" s="13" t="n">
        <v>95</v>
      </c>
      <c r="C393" s="17" t="n">
        <f aca="false">B393/100*Notas!$B$3</f>
        <v>90.25</v>
      </c>
      <c r="D393" s="17" t="n">
        <f aca="false">54.7/95*Notas!$B$3</f>
        <v>54.7</v>
      </c>
      <c r="E393" s="17" t="n">
        <f aca="false">30.06/95*Notas!$B$3</f>
        <v>30.06</v>
      </c>
      <c r="F393" s="13" t="n">
        <v>3</v>
      </c>
      <c r="G393" s="17" t="n">
        <f aca="false">9.96/95*Notas!$B$3</f>
        <v>9.96</v>
      </c>
      <c r="H393" s="17" t="n">
        <f aca="false">12.59/95*Notas!$B$3</f>
        <v>12.59</v>
      </c>
      <c r="I393" s="17" t="n">
        <f aca="false">35.14/95*Notas!$B$3</f>
        <v>35.14</v>
      </c>
      <c r="J393" s="17" t="n">
        <f aca="false">237.36/95*Notas!$B$3</f>
        <v>237.36</v>
      </c>
    </row>
    <row r="394" customFormat="false" ht="15" hidden="false" customHeight="false" outlineLevel="0" collapsed="false">
      <c r="A394" s="13" t="s">
        <v>232</v>
      </c>
      <c r="B394" s="13" t="n">
        <v>96</v>
      </c>
      <c r="C394" s="17" t="n">
        <f aca="false">B394/100*Notas!$B$3</f>
        <v>91.2</v>
      </c>
      <c r="D394" s="17" t="n">
        <f aca="false">52.01/95*Notas!$B$3</f>
        <v>52.01</v>
      </c>
      <c r="E394" s="17" t="n">
        <f aca="false">28.76/95*Notas!$B$3</f>
        <v>28.76</v>
      </c>
      <c r="F394" s="13" t="n">
        <v>6</v>
      </c>
      <c r="G394" s="17" t="n">
        <f aca="false">8.27/95*Notas!$B$3</f>
        <v>8.27</v>
      </c>
      <c r="H394" s="17" t="n">
        <f aca="false">9.8/95*Notas!$B$3</f>
        <v>9.8</v>
      </c>
      <c r="I394" s="17" t="n">
        <f aca="false">28.09/95*Notas!$B$3</f>
        <v>28.09</v>
      </c>
      <c r="J394" s="17" t="n">
        <f aca="false">201.31/95*Notas!$B$3</f>
        <v>201.31</v>
      </c>
    </row>
    <row r="395" customFormat="false" ht="15" hidden="false" customHeight="false" outlineLevel="0" collapsed="false">
      <c r="A395" s="13" t="s">
        <v>232</v>
      </c>
      <c r="B395" s="13" t="n">
        <v>97</v>
      </c>
      <c r="C395" s="17" t="n">
        <f aca="false">B395/100*Notas!$B$3</f>
        <v>92.15</v>
      </c>
      <c r="D395" s="17" t="n">
        <f aca="false">41.45/95*Notas!$B$3</f>
        <v>41.45</v>
      </c>
      <c r="E395" s="17" t="n">
        <f aca="false">27.4/95*Notas!$B$3</f>
        <v>27.4</v>
      </c>
      <c r="F395" s="13" t="n">
        <v>4</v>
      </c>
      <c r="G395" s="17" t="n">
        <f aca="false">6.56/95*Notas!$B$3</f>
        <v>6.56</v>
      </c>
      <c r="H395" s="17" t="n">
        <f aca="false">7.67/95*Notas!$B$3</f>
        <v>7.67</v>
      </c>
      <c r="I395" s="17" t="n">
        <f aca="false">22.27/95*Notas!$B$3</f>
        <v>22.27</v>
      </c>
      <c r="J395" s="17" t="n">
        <f aca="false">147.46/95*Notas!$B$3</f>
        <v>147.46</v>
      </c>
    </row>
    <row r="396" customFormat="false" ht="15" hidden="false" customHeight="false" outlineLevel="0" collapsed="false">
      <c r="A396" s="13" t="s">
        <v>232</v>
      </c>
      <c r="B396" s="13" t="n">
        <v>98</v>
      </c>
      <c r="C396" s="17" t="n">
        <f aca="false">B396/100*Notas!$B$3</f>
        <v>93.1</v>
      </c>
      <c r="D396" s="17" t="n">
        <f aca="false">19.42/95*Notas!$B$3</f>
        <v>19.42</v>
      </c>
      <c r="E396" s="17" t="n">
        <f aca="false">25.47/95*Notas!$B$3</f>
        <v>25.47</v>
      </c>
      <c r="F396" s="13" t="n">
        <v>3</v>
      </c>
      <c r="G396" s="17" t="n">
        <f aca="false">4.9/95*Notas!$B$3</f>
        <v>4.9</v>
      </c>
      <c r="H396" s="17" t="n">
        <f aca="false">5.86/95*Notas!$B$3</f>
        <v>5.86</v>
      </c>
      <c r="I396" s="17" t="n">
        <f aca="false">16.93/95*Notas!$B$3</f>
        <v>16.93</v>
      </c>
      <c r="J396" s="17" t="n">
        <f aca="false">64.44/95*Notas!$B$3</f>
        <v>64.44</v>
      </c>
    </row>
    <row r="397" customFormat="false" ht="15" hidden="false" customHeight="false" outlineLevel="0" collapsed="false">
      <c r="A397" s="13" t="s">
        <v>232</v>
      </c>
      <c r="B397" s="13" t="n">
        <v>99</v>
      </c>
      <c r="C397" s="17" t="n">
        <f aca="false">B397/100*Notas!$B$3</f>
        <v>94.05</v>
      </c>
      <c r="D397" s="17" t="n">
        <f aca="false">12.96/95*Notas!$B$3</f>
        <v>12.96</v>
      </c>
      <c r="E397" s="17" t="n">
        <f aca="false">18.51/95*Notas!$B$3</f>
        <v>18.51</v>
      </c>
      <c r="F397" s="13" t="n">
        <v>2</v>
      </c>
      <c r="G397" s="17" t="n">
        <f aca="false">3.17/95*Notas!$B$3</f>
        <v>3.17</v>
      </c>
      <c r="H397" s="17" t="n">
        <f aca="false">4.04/95*Notas!$B$3</f>
        <v>4.04</v>
      </c>
      <c r="I397" s="17" t="n">
        <f aca="false">11.39/95*Notas!$B$3</f>
        <v>11.39</v>
      </c>
      <c r="J397" s="17" t="n">
        <f aca="false">34.79/95*Notas!$B$3</f>
        <v>34.79</v>
      </c>
    </row>
    <row r="398" customFormat="false" ht="15" hidden="false" customHeight="false" outlineLevel="0" collapsed="false">
      <c r="A398" s="13" t="s">
        <v>236</v>
      </c>
      <c r="B398" s="13" t="n">
        <v>1</v>
      </c>
      <c r="C398" s="17" t="n">
        <f aca="false">B398/100*Notas!$B$3</f>
        <v>0.95</v>
      </c>
      <c r="D398" s="17" t="n">
        <f aca="false">45.31/95*Notas!$B$3</f>
        <v>45.31</v>
      </c>
      <c r="E398" s="17" t="n">
        <f aca="false">24.85/95*Notas!$B$3</f>
        <v>24.85</v>
      </c>
      <c r="F398" s="13" t="n">
        <v>2</v>
      </c>
      <c r="G398" s="17" t="n">
        <f aca="false">18.63/95*Notas!$B$3</f>
        <v>18.63</v>
      </c>
      <c r="H398" s="17" t="n">
        <f aca="false">24.83/95*Notas!$B$3</f>
        <v>24.83</v>
      </c>
      <c r="I398" s="17" t="n">
        <f aca="false">67.65/95*Notas!$B$3</f>
        <v>67.65</v>
      </c>
      <c r="J398" s="17" t="n">
        <f aca="false">135.14/95*Notas!$B$3</f>
        <v>135.14</v>
      </c>
    </row>
    <row r="399" customFormat="false" ht="15" hidden="false" customHeight="false" outlineLevel="0" collapsed="false">
      <c r="A399" s="13" t="s">
        <v>236</v>
      </c>
      <c r="B399" s="13" t="n">
        <v>2</v>
      </c>
      <c r="C399" s="17" t="n">
        <f aca="false">B399/100*Notas!$B$3</f>
        <v>1.9</v>
      </c>
      <c r="D399" s="17" t="n">
        <f aca="false">45.19/95*Notas!$B$3</f>
        <v>45.19</v>
      </c>
      <c r="E399" s="17" t="n">
        <f aca="false">24.85/95*Notas!$B$3</f>
        <v>24.85</v>
      </c>
      <c r="F399" s="13" t="n">
        <v>2</v>
      </c>
      <c r="G399" s="17" t="n">
        <f aca="false">18.55/95*Notas!$B$3</f>
        <v>18.55</v>
      </c>
      <c r="H399" s="17" t="n">
        <f aca="false">24.84/95*Notas!$B$3</f>
        <v>24.84</v>
      </c>
      <c r="I399" s="17" t="n">
        <f aca="false">67.38/95*Notas!$B$3</f>
        <v>67.38</v>
      </c>
      <c r="J399" s="17" t="n">
        <f aca="false">134.66/95*Notas!$B$3</f>
        <v>134.66</v>
      </c>
    </row>
    <row r="400" customFormat="false" ht="15" hidden="false" customHeight="false" outlineLevel="0" collapsed="false">
      <c r="A400" s="13" t="s">
        <v>236</v>
      </c>
      <c r="B400" s="13" t="n">
        <v>3</v>
      </c>
      <c r="C400" s="17" t="n">
        <f aca="false">B400/100*Notas!$B$3</f>
        <v>2.85</v>
      </c>
      <c r="D400" s="17" t="n">
        <f aca="false">45.09/95*Notas!$B$3</f>
        <v>45.09</v>
      </c>
      <c r="E400" s="17" t="n">
        <f aca="false">24.86/95*Notas!$B$3</f>
        <v>24.86</v>
      </c>
      <c r="F400" s="13" t="n">
        <v>2</v>
      </c>
      <c r="G400" s="17" t="n">
        <f aca="false">18.53/95*Notas!$B$3</f>
        <v>18.53</v>
      </c>
      <c r="H400" s="17" t="n">
        <f aca="false">24.8/95*Notas!$B$3</f>
        <v>24.8</v>
      </c>
      <c r="I400" s="17" t="n">
        <f aca="false">67.15/95*Notas!$B$3</f>
        <v>67.15</v>
      </c>
      <c r="J400" s="17" t="n">
        <f aca="false">134.37/95*Notas!$B$3</f>
        <v>134.37</v>
      </c>
    </row>
    <row r="401" customFormat="false" ht="15" hidden="false" customHeight="false" outlineLevel="0" collapsed="false">
      <c r="A401" s="13" t="s">
        <v>236</v>
      </c>
      <c r="B401" s="13" t="n">
        <v>4</v>
      </c>
      <c r="C401" s="17" t="n">
        <f aca="false">B401/100*Notas!$B$3</f>
        <v>3.8</v>
      </c>
      <c r="D401" s="17" t="n">
        <f aca="false">43.48/95*Notas!$B$3</f>
        <v>43.48</v>
      </c>
      <c r="E401" s="17" t="n">
        <f aca="false">24.04/95*Notas!$B$3</f>
        <v>24.04</v>
      </c>
      <c r="F401" s="13" t="n">
        <v>2</v>
      </c>
      <c r="G401" s="17" t="n">
        <f aca="false">17.69/95*Notas!$B$3</f>
        <v>17.69</v>
      </c>
      <c r="H401" s="17" t="n">
        <f aca="false">24.04/95*Notas!$B$3</f>
        <v>24.04</v>
      </c>
      <c r="I401" s="17" t="n">
        <f aca="false">64.93/95*Notas!$B$3</f>
        <v>64.93</v>
      </c>
      <c r="J401" s="17" t="n">
        <f aca="false">129.73/95*Notas!$B$3</f>
        <v>129.73</v>
      </c>
    </row>
    <row r="402" customFormat="false" ht="15" hidden="false" customHeight="false" outlineLevel="0" collapsed="false">
      <c r="A402" s="13" t="s">
        <v>236</v>
      </c>
      <c r="B402" s="13" t="n">
        <v>5</v>
      </c>
      <c r="C402" s="17" t="n">
        <f aca="false">B402/100*Notas!$B$3</f>
        <v>4.75</v>
      </c>
      <c r="D402" s="17" t="n">
        <f aca="false">43.15/95*Notas!$B$3</f>
        <v>43.15</v>
      </c>
      <c r="E402" s="17" t="n">
        <f aca="false">23.93/95*Notas!$B$3</f>
        <v>23.93</v>
      </c>
      <c r="F402" s="13" t="n">
        <v>2</v>
      </c>
      <c r="G402" s="17" t="n">
        <f aca="false">17.46/95*Notas!$B$3</f>
        <v>17.46</v>
      </c>
      <c r="H402" s="17" t="n">
        <f aca="false">23.89/95*Notas!$B$3</f>
        <v>23.89</v>
      </c>
      <c r="I402" s="17" t="n">
        <f aca="false">64.37/95*Notas!$B$3</f>
        <v>64.37</v>
      </c>
      <c r="J402" s="17" t="n">
        <f aca="false">128.76/95*Notas!$B$3</f>
        <v>128.76</v>
      </c>
    </row>
    <row r="403" customFormat="false" ht="15" hidden="false" customHeight="false" outlineLevel="0" collapsed="false">
      <c r="A403" s="13" t="s">
        <v>236</v>
      </c>
      <c r="B403" s="13" t="n">
        <v>6</v>
      </c>
      <c r="C403" s="17" t="n">
        <f aca="false">B403/100*Notas!$B$3</f>
        <v>5.7</v>
      </c>
      <c r="D403" s="17" t="n">
        <f aca="false">42.83/95*Notas!$B$3</f>
        <v>42.83</v>
      </c>
      <c r="E403" s="17" t="n">
        <f aca="false">23.46/95*Notas!$B$3</f>
        <v>23.46</v>
      </c>
      <c r="F403" s="13" t="n">
        <v>2</v>
      </c>
      <c r="G403" s="17" t="n">
        <f aca="false">17.09/95*Notas!$B$3</f>
        <v>17.09</v>
      </c>
      <c r="H403" s="17" t="n">
        <f aca="false">23.41/95*Notas!$B$3</f>
        <v>23.41</v>
      </c>
      <c r="I403" s="17" t="n">
        <f aca="false">63.05/95*Notas!$B$3</f>
        <v>63.05</v>
      </c>
      <c r="J403" s="17" t="n">
        <f aca="false">126.22/95*Notas!$B$3</f>
        <v>126.22</v>
      </c>
    </row>
    <row r="404" customFormat="false" ht="15" hidden="false" customHeight="false" outlineLevel="0" collapsed="false">
      <c r="A404" s="13" t="s">
        <v>236</v>
      </c>
      <c r="B404" s="13" t="n">
        <v>7</v>
      </c>
      <c r="C404" s="17" t="n">
        <f aca="false">B404/100*Notas!$B$3</f>
        <v>6.65</v>
      </c>
      <c r="D404" s="17" t="n">
        <f aca="false">39.6/95*Notas!$B$3</f>
        <v>39.6</v>
      </c>
      <c r="E404" s="17" t="n">
        <f aca="false">20.55/95*Notas!$B$3</f>
        <v>20.55</v>
      </c>
      <c r="F404" s="13" t="n">
        <v>2</v>
      </c>
      <c r="G404" s="17" t="n">
        <f aca="false">15.69/95*Notas!$B$3</f>
        <v>15.69</v>
      </c>
      <c r="H404" s="17" t="n">
        <f aca="false">19.94/95*Notas!$B$3</f>
        <v>19.94</v>
      </c>
      <c r="I404" s="17" t="n">
        <f aca="false">55.86/95*Notas!$B$3</f>
        <v>55.86</v>
      </c>
      <c r="J404" s="17" t="n">
        <f aca="false">111.84/95*Notas!$B$3</f>
        <v>111.84</v>
      </c>
    </row>
    <row r="405" customFormat="false" ht="15" hidden="false" customHeight="false" outlineLevel="0" collapsed="false">
      <c r="A405" s="13" t="s">
        <v>236</v>
      </c>
      <c r="B405" s="13" t="n">
        <v>8</v>
      </c>
      <c r="C405" s="17" t="n">
        <f aca="false">B405/100*Notas!$B$3</f>
        <v>7.6</v>
      </c>
      <c r="D405" s="17" t="n">
        <f aca="false">34.41/95*Notas!$B$3</f>
        <v>34.41</v>
      </c>
      <c r="E405" s="17" t="n">
        <f aca="false">14.79/95*Notas!$B$3</f>
        <v>14.79</v>
      </c>
      <c r="F405" s="13" t="n">
        <v>2</v>
      </c>
      <c r="G405" s="17" t="n">
        <f aca="false">12.94/95*Notas!$B$3</f>
        <v>12.94</v>
      </c>
      <c r="H405" s="17" t="n">
        <f aca="false">14.77/95*Notas!$B$3</f>
        <v>14.77</v>
      </c>
      <c r="I405" s="17" t="n">
        <f aca="false">44.43/95*Notas!$B$3</f>
        <v>44.43</v>
      </c>
      <c r="J405" s="17" t="n">
        <f aca="false">88.92/95*Notas!$B$3</f>
        <v>88.92</v>
      </c>
    </row>
    <row r="406" customFormat="false" ht="15" hidden="false" customHeight="false" outlineLevel="0" collapsed="false">
      <c r="A406" s="13" t="s">
        <v>236</v>
      </c>
      <c r="B406" s="13" t="n">
        <v>9</v>
      </c>
      <c r="C406" s="17" t="n">
        <f aca="false">B406/100*Notas!$B$3</f>
        <v>8.55</v>
      </c>
      <c r="D406" s="17" t="n">
        <f aca="false">36.1/95*Notas!$B$3</f>
        <v>36.1</v>
      </c>
      <c r="E406" s="17" t="n">
        <f aca="false">16.85/95*Notas!$B$3</f>
        <v>16.85</v>
      </c>
      <c r="F406" s="13" t="n">
        <v>2</v>
      </c>
      <c r="G406" s="17" t="n">
        <f aca="false">14.43/95*Notas!$B$3</f>
        <v>14.43</v>
      </c>
      <c r="H406" s="17" t="n">
        <f aca="false">16.75/95*Notas!$B$3</f>
        <v>16.75</v>
      </c>
      <c r="I406" s="17" t="n">
        <f aca="false">48.58/95*Notas!$B$3</f>
        <v>48.58</v>
      </c>
      <c r="J406" s="17" t="n">
        <f aca="false">97.28/95*Notas!$B$3</f>
        <v>97.28</v>
      </c>
    </row>
    <row r="407" customFormat="false" ht="15" hidden="false" customHeight="false" outlineLevel="0" collapsed="false">
      <c r="A407" s="13" t="s">
        <v>236</v>
      </c>
      <c r="B407" s="13" t="n">
        <v>10</v>
      </c>
      <c r="C407" s="17" t="n">
        <f aca="false">B407/100*Notas!$B$3</f>
        <v>9.5</v>
      </c>
      <c r="D407" s="17" t="n">
        <f aca="false">36.07/95*Notas!$B$3</f>
        <v>36.07</v>
      </c>
      <c r="E407" s="17" t="n">
        <f aca="false">17/95*Notas!$B$3</f>
        <v>17</v>
      </c>
      <c r="F407" s="13" t="n">
        <v>2</v>
      </c>
      <c r="G407" s="17" t="n">
        <f aca="false">14.59/95*Notas!$B$3</f>
        <v>14.59</v>
      </c>
      <c r="H407" s="17" t="n">
        <f aca="false">16.84/95*Notas!$B$3</f>
        <v>16.84</v>
      </c>
      <c r="I407" s="17" t="n">
        <f aca="false">48.92/95*Notas!$B$3</f>
        <v>48.92</v>
      </c>
      <c r="J407" s="17" t="n">
        <f aca="false">98.11/95*Notas!$B$3</f>
        <v>98.11</v>
      </c>
    </row>
    <row r="408" customFormat="false" ht="15" hidden="false" customHeight="false" outlineLevel="0" collapsed="false">
      <c r="A408" s="13" t="s">
        <v>236</v>
      </c>
      <c r="B408" s="13" t="n">
        <v>11</v>
      </c>
      <c r="C408" s="17" t="n">
        <f aca="false">B408/100*Notas!$B$3</f>
        <v>10.45</v>
      </c>
      <c r="D408" s="17" t="n">
        <f aca="false">36.05/95*Notas!$B$3</f>
        <v>36.05</v>
      </c>
      <c r="E408" s="17" t="n">
        <f aca="false">17.06/95*Notas!$B$3</f>
        <v>17.06</v>
      </c>
      <c r="F408" s="13" t="n">
        <v>2</v>
      </c>
      <c r="G408" s="17" t="n">
        <f aca="false">14.74/95*Notas!$B$3</f>
        <v>14.74</v>
      </c>
      <c r="H408" s="17" t="n">
        <f aca="false">16.89/95*Notas!$B$3</f>
        <v>16.89</v>
      </c>
      <c r="I408" s="17" t="n">
        <f aca="false">49.23/95*Notas!$B$3</f>
        <v>49.23</v>
      </c>
      <c r="J408" s="17" t="n">
        <f aca="false">98.76/95*Notas!$B$3</f>
        <v>98.76</v>
      </c>
    </row>
    <row r="409" customFormat="false" ht="15" hidden="false" customHeight="false" outlineLevel="0" collapsed="false">
      <c r="A409" s="13" t="s">
        <v>236</v>
      </c>
      <c r="B409" s="13" t="n">
        <v>12</v>
      </c>
      <c r="C409" s="17" t="n">
        <f aca="false">B409/100*Notas!$B$3</f>
        <v>11.4</v>
      </c>
      <c r="D409" s="17" t="n">
        <f aca="false">36.03/95*Notas!$B$3</f>
        <v>36.03</v>
      </c>
      <c r="E409" s="17" t="n">
        <f aca="false">17.12/95*Notas!$B$3</f>
        <v>17.12</v>
      </c>
      <c r="F409" s="13" t="n">
        <v>2</v>
      </c>
      <c r="G409" s="17" t="n">
        <f aca="false">14.6/95*Notas!$B$3</f>
        <v>14.6</v>
      </c>
      <c r="H409" s="17" t="n">
        <f aca="false">17.12/95*Notas!$B$3</f>
        <v>17.12</v>
      </c>
      <c r="I409" s="17" t="n">
        <f aca="false">49.73/95*Notas!$B$3</f>
        <v>49.73</v>
      </c>
      <c r="J409" s="17" t="n">
        <f aca="false">99.18/95*Notas!$B$3</f>
        <v>99.18</v>
      </c>
    </row>
    <row r="410" customFormat="false" ht="15" hidden="false" customHeight="false" outlineLevel="0" collapsed="false">
      <c r="A410" s="13" t="s">
        <v>236</v>
      </c>
      <c r="B410" s="13" t="n">
        <v>13</v>
      </c>
      <c r="C410" s="17" t="n">
        <f aca="false">B410/100*Notas!$B$3</f>
        <v>12.35</v>
      </c>
      <c r="D410" s="17" t="n">
        <f aca="false">33.21/95*Notas!$B$3</f>
        <v>33.21</v>
      </c>
      <c r="E410" s="17" t="n">
        <f aca="false">12.95/95*Notas!$B$3</f>
        <v>12.95</v>
      </c>
      <c r="F410" s="13" t="n">
        <v>2</v>
      </c>
      <c r="G410" s="17" t="n">
        <f aca="false">12.83/95*Notas!$B$3</f>
        <v>12.83</v>
      </c>
      <c r="H410" s="17" t="n">
        <f aca="false">12.95/95*Notas!$B$3</f>
        <v>12.95</v>
      </c>
      <c r="I410" s="17" t="n">
        <f aca="false">41.01/95*Notas!$B$3</f>
        <v>41.01</v>
      </c>
      <c r="J410" s="17" t="n">
        <f aca="false">82.1/95*Notas!$B$3</f>
        <v>82.1</v>
      </c>
    </row>
    <row r="411" customFormat="false" ht="15" hidden="false" customHeight="false" outlineLevel="0" collapsed="false">
      <c r="A411" s="13" t="s">
        <v>236</v>
      </c>
      <c r="B411" s="13" t="n">
        <v>14</v>
      </c>
      <c r="C411" s="17" t="n">
        <f aca="false">B411/100*Notas!$B$3</f>
        <v>13.3</v>
      </c>
      <c r="D411" s="17" t="n">
        <f aca="false">32.89/95*Notas!$B$3</f>
        <v>32.89</v>
      </c>
      <c r="E411" s="17" t="n">
        <f aca="false">12.95/95*Notas!$B$3</f>
        <v>12.95</v>
      </c>
      <c r="F411" s="13" t="n">
        <v>2</v>
      </c>
      <c r="G411" s="17" t="n">
        <f aca="false">12.86/95*Notas!$B$3</f>
        <v>12.86</v>
      </c>
      <c r="H411" s="17" t="n">
        <f aca="false">12.95/95*Notas!$B$3</f>
        <v>12.95</v>
      </c>
      <c r="I411" s="17" t="n">
        <f aca="false">41.08/95*Notas!$B$3</f>
        <v>41.08</v>
      </c>
      <c r="J411" s="17" t="n">
        <f aca="false">82.32/95*Notas!$B$3</f>
        <v>82.32</v>
      </c>
    </row>
    <row r="412" customFormat="false" ht="15" hidden="false" customHeight="false" outlineLevel="0" collapsed="false">
      <c r="A412" s="13" t="s">
        <v>236</v>
      </c>
      <c r="B412" s="13" t="n">
        <v>15</v>
      </c>
      <c r="C412" s="17" t="n">
        <f aca="false">B412/100*Notas!$B$3</f>
        <v>14.25</v>
      </c>
      <c r="D412" s="17" t="n">
        <f aca="false">32.56/95*Notas!$B$3</f>
        <v>32.56</v>
      </c>
      <c r="E412" s="17" t="n">
        <f aca="false">12.96/95*Notas!$B$3</f>
        <v>12.96</v>
      </c>
      <c r="F412" s="13" t="n">
        <v>2</v>
      </c>
      <c r="G412" s="17" t="n">
        <f aca="false">12.98/95*Notas!$B$3</f>
        <v>12.98</v>
      </c>
      <c r="H412" s="17" t="n">
        <f aca="false">12.77/95*Notas!$B$3</f>
        <v>12.77</v>
      </c>
      <c r="I412" s="17" t="n">
        <f aca="false">41.41/95*Notas!$B$3</f>
        <v>41.41</v>
      </c>
      <c r="J412" s="17" t="n">
        <f aca="false">82.57/95*Notas!$B$3</f>
        <v>82.57</v>
      </c>
    </row>
    <row r="413" customFormat="false" ht="15" hidden="false" customHeight="false" outlineLevel="0" collapsed="false">
      <c r="A413" s="13" t="s">
        <v>236</v>
      </c>
      <c r="B413" s="13" t="n">
        <v>16</v>
      </c>
      <c r="C413" s="17" t="n">
        <f aca="false">B413/100*Notas!$B$3</f>
        <v>15.2</v>
      </c>
      <c r="D413" s="17" t="n">
        <f aca="false">32.2/95*Notas!$B$3</f>
        <v>32.2</v>
      </c>
      <c r="E413" s="17" t="n">
        <f aca="false">12.97/95*Notas!$B$3</f>
        <v>12.97</v>
      </c>
      <c r="F413" s="13" t="n">
        <v>2</v>
      </c>
      <c r="G413" s="17" t="n">
        <f aca="false">12.99/95*Notas!$B$3</f>
        <v>12.99</v>
      </c>
      <c r="H413" s="17" t="n">
        <f aca="false">12.84/95*Notas!$B$3</f>
        <v>12.84</v>
      </c>
      <c r="I413" s="17" t="n">
        <f aca="false">41.59/95*Notas!$B$3</f>
        <v>41.59</v>
      </c>
      <c r="J413" s="17" t="n">
        <f aca="false">82.9/95*Notas!$B$3</f>
        <v>82.9</v>
      </c>
    </row>
    <row r="414" customFormat="false" ht="15" hidden="false" customHeight="false" outlineLevel="0" collapsed="false">
      <c r="A414" s="13" t="s">
        <v>236</v>
      </c>
      <c r="B414" s="13" t="n">
        <v>17</v>
      </c>
      <c r="C414" s="17" t="n">
        <f aca="false">B414/100*Notas!$B$3</f>
        <v>16.15</v>
      </c>
      <c r="D414" s="17" t="n">
        <f aca="false">31.85/95*Notas!$B$3</f>
        <v>31.85</v>
      </c>
      <c r="E414" s="17" t="n">
        <f aca="false">13.03/95*Notas!$B$3</f>
        <v>13.03</v>
      </c>
      <c r="F414" s="13" t="n">
        <v>2</v>
      </c>
      <c r="G414" s="17" t="n">
        <f aca="false">12.99/95*Notas!$B$3</f>
        <v>12.99</v>
      </c>
      <c r="H414" s="17" t="n">
        <f aca="false">13.01/95*Notas!$B$3</f>
        <v>13.01</v>
      </c>
      <c r="I414" s="17" t="n">
        <f aca="false">41.52/95*Notas!$B$3</f>
        <v>41.52</v>
      </c>
      <c r="J414" s="17" t="n">
        <f aca="false">83.31/95*Notas!$B$3</f>
        <v>83.31</v>
      </c>
    </row>
    <row r="415" customFormat="false" ht="15" hidden="false" customHeight="false" outlineLevel="0" collapsed="false">
      <c r="A415" s="13" t="s">
        <v>236</v>
      </c>
      <c r="B415" s="13" t="n">
        <v>18</v>
      </c>
      <c r="C415" s="17" t="n">
        <f aca="false">B415/100*Notas!$B$3</f>
        <v>17.1</v>
      </c>
      <c r="D415" s="17" t="n">
        <f aca="false">31.51/95*Notas!$B$3</f>
        <v>31.51</v>
      </c>
      <c r="E415" s="17" t="n">
        <f aca="false">13.08/95*Notas!$B$3</f>
        <v>13.08</v>
      </c>
      <c r="F415" s="13" t="n">
        <v>2</v>
      </c>
      <c r="G415" s="17" t="n">
        <f aca="false">13.05/95*Notas!$B$3</f>
        <v>13.05</v>
      </c>
      <c r="H415" s="17" t="n">
        <f aca="false">13.06/95*Notas!$B$3</f>
        <v>13.06</v>
      </c>
      <c r="I415" s="17" t="n">
        <f aca="false">41.75/95*Notas!$B$3</f>
        <v>41.75</v>
      </c>
      <c r="J415" s="17" t="n">
        <f aca="false">83.76/95*Notas!$B$3</f>
        <v>83.76</v>
      </c>
    </row>
    <row r="416" customFormat="false" ht="15" hidden="false" customHeight="false" outlineLevel="0" collapsed="false">
      <c r="A416" s="13" t="s">
        <v>236</v>
      </c>
      <c r="B416" s="13" t="n">
        <v>19</v>
      </c>
      <c r="C416" s="17" t="n">
        <f aca="false">B416/100*Notas!$B$3</f>
        <v>18.05</v>
      </c>
      <c r="D416" s="17" t="n">
        <f aca="false">31.16/95*Notas!$B$3</f>
        <v>31.16</v>
      </c>
      <c r="E416" s="17" t="n">
        <f aca="false">13.14/95*Notas!$B$3</f>
        <v>13.14</v>
      </c>
      <c r="F416" s="13" t="n">
        <v>2</v>
      </c>
      <c r="G416" s="17" t="n">
        <f aca="false">13.09/95*Notas!$B$3</f>
        <v>13.09</v>
      </c>
      <c r="H416" s="17" t="n">
        <f aca="false">13.11/95*Notas!$B$3</f>
        <v>13.11</v>
      </c>
      <c r="I416" s="17" t="n">
        <f aca="false">41.97/95*Notas!$B$3</f>
        <v>41.97</v>
      </c>
      <c r="J416" s="17" t="n">
        <f aca="false">84.23/95*Notas!$B$3</f>
        <v>84.23</v>
      </c>
    </row>
    <row r="417" customFormat="false" ht="15" hidden="false" customHeight="false" outlineLevel="0" collapsed="false">
      <c r="A417" s="13" t="s">
        <v>236</v>
      </c>
      <c r="B417" s="13" t="n">
        <v>20</v>
      </c>
      <c r="C417" s="17" t="n">
        <f aca="false">B417/100*Notas!$B$3</f>
        <v>19</v>
      </c>
      <c r="D417" s="17" t="n">
        <f aca="false">30.82/95*Notas!$B$3</f>
        <v>30.82</v>
      </c>
      <c r="E417" s="17" t="n">
        <f aca="false">13.21/95*Notas!$B$3</f>
        <v>13.21</v>
      </c>
      <c r="F417" s="13" t="n">
        <v>2</v>
      </c>
      <c r="G417" s="17" t="n">
        <f aca="false">13.14/95*Notas!$B$3</f>
        <v>13.14</v>
      </c>
      <c r="H417" s="17" t="n">
        <f aca="false">13.19/95*Notas!$B$3</f>
        <v>13.19</v>
      </c>
      <c r="I417" s="17" t="n">
        <f aca="false">42.22/95*Notas!$B$3</f>
        <v>42.22</v>
      </c>
      <c r="J417" s="17" t="n">
        <f aca="false">84.79/95*Notas!$B$3</f>
        <v>84.79</v>
      </c>
    </row>
    <row r="418" customFormat="false" ht="15" hidden="false" customHeight="false" outlineLevel="0" collapsed="false">
      <c r="A418" s="13" t="s">
        <v>236</v>
      </c>
      <c r="B418" s="13" t="n">
        <v>21</v>
      </c>
      <c r="C418" s="17" t="n">
        <f aca="false">B418/100*Notas!$B$3</f>
        <v>19.95</v>
      </c>
      <c r="D418" s="17" t="n">
        <f aca="false">30.49/95*Notas!$B$3</f>
        <v>30.49</v>
      </c>
      <c r="E418" s="17" t="n">
        <f aca="false">13.32/95*Notas!$B$3</f>
        <v>13.32</v>
      </c>
      <c r="F418" s="13" t="n">
        <v>2</v>
      </c>
      <c r="G418" s="17" t="n">
        <f aca="false">13.17/95*Notas!$B$3</f>
        <v>13.17</v>
      </c>
      <c r="H418" s="17" t="n">
        <f aca="false">13.29/95*Notas!$B$3</f>
        <v>13.29</v>
      </c>
      <c r="I418" s="17" t="n">
        <f aca="false">42.53/95*Notas!$B$3</f>
        <v>42.53</v>
      </c>
      <c r="J418" s="17" t="n">
        <f aca="false">85.44/95*Notas!$B$3</f>
        <v>85.44</v>
      </c>
    </row>
    <row r="419" customFormat="false" ht="15" hidden="false" customHeight="false" outlineLevel="0" collapsed="false">
      <c r="A419" s="13" t="s">
        <v>236</v>
      </c>
      <c r="B419" s="13" t="n">
        <v>22</v>
      </c>
      <c r="C419" s="17" t="n">
        <f aca="false">B419/100*Notas!$B$3</f>
        <v>20.9</v>
      </c>
      <c r="D419" s="17" t="n">
        <f aca="false">30.17/95*Notas!$B$3</f>
        <v>30.17</v>
      </c>
      <c r="E419" s="17" t="n">
        <f aca="false">13.44/95*Notas!$B$3</f>
        <v>13.44</v>
      </c>
      <c r="F419" s="13" t="n">
        <v>2</v>
      </c>
      <c r="G419" s="17" t="n">
        <f aca="false">13.22/95*Notas!$B$3</f>
        <v>13.22</v>
      </c>
      <c r="H419" s="17" t="n">
        <f aca="false">13.4/95*Notas!$B$3</f>
        <v>13.4</v>
      </c>
      <c r="I419" s="17" t="n">
        <f aca="false">43.04/95*Notas!$B$3</f>
        <v>43.04</v>
      </c>
      <c r="J419" s="17" t="n">
        <f aca="false">86.44/95*Notas!$B$3</f>
        <v>86.44</v>
      </c>
    </row>
    <row r="420" customFormat="false" ht="15" hidden="false" customHeight="false" outlineLevel="0" collapsed="false">
      <c r="A420" s="13" t="s">
        <v>236</v>
      </c>
      <c r="B420" s="13" t="n">
        <v>23</v>
      </c>
      <c r="C420" s="17" t="n">
        <f aca="false">B420/100*Notas!$B$3</f>
        <v>21.85</v>
      </c>
      <c r="D420" s="17" t="n">
        <f aca="false">29.95/95*Notas!$B$3</f>
        <v>29.95</v>
      </c>
      <c r="E420" s="17" t="n">
        <f aca="false">13.59/95*Notas!$B$3</f>
        <v>13.59</v>
      </c>
      <c r="F420" s="13" t="n">
        <v>1</v>
      </c>
      <c r="G420" s="17" t="n">
        <f aca="false">29.95/95*Notas!$B$3</f>
        <v>29.95</v>
      </c>
      <c r="H420" s="17" t="n">
        <f aca="false">13.59/95*Notas!$B$3</f>
        <v>13.59</v>
      </c>
      <c r="I420" s="17" t="n">
        <f aca="false">80.57/95*Notas!$B$3</f>
        <v>80.57</v>
      </c>
      <c r="J420" s="17" t="n">
        <f aca="false">80.57/95*Notas!$B$3</f>
        <v>80.57</v>
      </c>
    </row>
    <row r="421" customFormat="false" ht="15" hidden="false" customHeight="false" outlineLevel="0" collapsed="false">
      <c r="A421" s="13" t="s">
        <v>236</v>
      </c>
      <c r="B421" s="13" t="n">
        <v>24</v>
      </c>
      <c r="C421" s="17" t="n">
        <f aca="false">B421/100*Notas!$B$3</f>
        <v>22.8</v>
      </c>
      <c r="D421" s="17" t="n">
        <f aca="false">30.39/95*Notas!$B$3</f>
        <v>30.39</v>
      </c>
      <c r="E421" s="17" t="n">
        <f aca="false">13.8/95*Notas!$B$3</f>
        <v>13.8</v>
      </c>
      <c r="F421" s="13" t="n">
        <v>1</v>
      </c>
      <c r="G421" s="17" t="n">
        <f aca="false">30.39/95*Notas!$B$3</f>
        <v>30.39</v>
      </c>
      <c r="H421" s="17" t="n">
        <f aca="false">13.8/95*Notas!$B$3</f>
        <v>13.8</v>
      </c>
      <c r="I421" s="17" t="n">
        <f aca="false">77.57/95*Notas!$B$3</f>
        <v>77.57</v>
      </c>
      <c r="J421" s="17" t="n">
        <f aca="false">77.57/95*Notas!$B$3</f>
        <v>77.57</v>
      </c>
    </row>
    <row r="422" customFormat="false" ht="15" hidden="false" customHeight="false" outlineLevel="0" collapsed="false">
      <c r="A422" s="13" t="s">
        <v>236</v>
      </c>
      <c r="B422" s="13" t="n">
        <v>25</v>
      </c>
      <c r="C422" s="17" t="n">
        <f aca="false">B422/100*Notas!$B$3</f>
        <v>23.75</v>
      </c>
      <c r="D422" s="17" t="n">
        <f aca="false">30.3/95*Notas!$B$3</f>
        <v>30.3</v>
      </c>
      <c r="E422" s="17" t="n">
        <f aca="false">14.64/95*Notas!$B$3</f>
        <v>14.64</v>
      </c>
      <c r="F422" s="13" t="n">
        <v>1</v>
      </c>
      <c r="G422" s="17" t="n">
        <f aca="false">30.3/95*Notas!$B$3</f>
        <v>30.3</v>
      </c>
      <c r="H422" s="17" t="n">
        <f aca="false">14.64/95*Notas!$B$3</f>
        <v>14.64</v>
      </c>
      <c r="I422" s="17" t="n">
        <f aca="false">77.17/95*Notas!$B$3</f>
        <v>77.17</v>
      </c>
      <c r="J422" s="17" t="n">
        <f aca="false">77.17/95*Notas!$B$3</f>
        <v>77.17</v>
      </c>
    </row>
    <row r="423" customFormat="false" ht="15" hidden="false" customHeight="false" outlineLevel="0" collapsed="false">
      <c r="A423" s="13" t="s">
        <v>236</v>
      </c>
      <c r="B423" s="13" t="n">
        <v>26</v>
      </c>
      <c r="C423" s="17" t="n">
        <f aca="false">B423/100*Notas!$B$3</f>
        <v>24.7</v>
      </c>
      <c r="D423" s="17" t="n">
        <f aca="false">29.66/95*Notas!$B$3</f>
        <v>29.66</v>
      </c>
      <c r="E423" s="17" t="n">
        <f aca="false">15.84/95*Notas!$B$3</f>
        <v>15.84</v>
      </c>
      <c r="F423" s="13" t="n">
        <v>1</v>
      </c>
      <c r="G423" s="17" t="n">
        <f aca="false">29.66/95*Notas!$B$3</f>
        <v>29.66</v>
      </c>
      <c r="H423" s="17" t="n">
        <f aca="false">15.84/95*Notas!$B$3</f>
        <v>15.84</v>
      </c>
      <c r="I423" s="17" t="n">
        <f aca="false">76.1/95*Notas!$B$3</f>
        <v>76.1</v>
      </c>
      <c r="J423" s="17" t="n">
        <f aca="false">76.1/95*Notas!$B$3</f>
        <v>76.1</v>
      </c>
    </row>
    <row r="424" customFormat="false" ht="15" hidden="false" customHeight="false" outlineLevel="0" collapsed="false">
      <c r="A424" s="13" t="s">
        <v>236</v>
      </c>
      <c r="B424" s="13" t="n">
        <v>27</v>
      </c>
      <c r="C424" s="17" t="n">
        <f aca="false">B424/100*Notas!$B$3</f>
        <v>25.65</v>
      </c>
      <c r="D424" s="17" t="n">
        <f aca="false">28.92/95*Notas!$B$3</f>
        <v>28.92</v>
      </c>
      <c r="E424" s="17" t="n">
        <f aca="false">16.47/95*Notas!$B$3</f>
        <v>16.47</v>
      </c>
      <c r="F424" s="13" t="n">
        <v>1</v>
      </c>
      <c r="G424" s="17" t="n">
        <f aca="false">28.92/95*Notas!$B$3</f>
        <v>28.92</v>
      </c>
      <c r="H424" s="17" t="n">
        <f aca="false">16.47/95*Notas!$B$3</f>
        <v>16.47</v>
      </c>
      <c r="I424" s="17" t="n">
        <f aca="false">74.82/95*Notas!$B$3</f>
        <v>74.82</v>
      </c>
      <c r="J424" s="17" t="n">
        <f aca="false">74.82/95*Notas!$B$3</f>
        <v>74.82</v>
      </c>
    </row>
    <row r="425" customFormat="false" ht="15" hidden="false" customHeight="false" outlineLevel="0" collapsed="false">
      <c r="A425" s="13" t="s">
        <v>236</v>
      </c>
      <c r="B425" s="13" t="n">
        <v>28</v>
      </c>
      <c r="C425" s="17" t="n">
        <f aca="false">B425/100*Notas!$B$3</f>
        <v>26.6</v>
      </c>
      <c r="D425" s="17" t="n">
        <f aca="false">28.17/95*Notas!$B$3</f>
        <v>28.17</v>
      </c>
      <c r="E425" s="17" t="n">
        <f aca="false">21.41/95*Notas!$B$3</f>
        <v>21.41</v>
      </c>
      <c r="F425" s="13" t="n">
        <v>3</v>
      </c>
      <c r="G425" s="17" t="n">
        <f aca="false">28.17/95*Notas!$B$3</f>
        <v>28.17</v>
      </c>
      <c r="H425" s="17" t="n">
        <f aca="false">16.99/95*Notas!$B$3</f>
        <v>16.99</v>
      </c>
      <c r="I425" s="17" t="n">
        <f aca="false">73.48/95*Notas!$B$3</f>
        <v>73.48</v>
      </c>
      <c r="J425" s="17" t="n">
        <f aca="false">80.71/95*Notas!$B$3</f>
        <v>80.71</v>
      </c>
    </row>
    <row r="426" customFormat="false" ht="15" hidden="false" customHeight="false" outlineLevel="0" collapsed="false">
      <c r="A426" s="13" t="s">
        <v>236</v>
      </c>
      <c r="B426" s="13" t="n">
        <v>29</v>
      </c>
      <c r="C426" s="17" t="n">
        <f aca="false">B426/100*Notas!$B$3</f>
        <v>27.55</v>
      </c>
      <c r="D426" s="17" t="n">
        <f aca="false">27.43/95*Notas!$B$3</f>
        <v>27.43</v>
      </c>
      <c r="E426" s="17" t="n">
        <f aca="false">21.21/95*Notas!$B$3</f>
        <v>21.21</v>
      </c>
      <c r="F426" s="13" t="n">
        <v>3</v>
      </c>
      <c r="G426" s="17" t="n">
        <f aca="false">27.43/95*Notas!$B$3</f>
        <v>27.43</v>
      </c>
      <c r="H426" s="17" t="n">
        <f aca="false">17.01/95*Notas!$B$3</f>
        <v>17.01</v>
      </c>
      <c r="I426" s="17" t="n">
        <f aca="false">71.9/95*Notas!$B$3</f>
        <v>71.9</v>
      </c>
      <c r="J426" s="17" t="n">
        <f aca="false">88.78/95*Notas!$B$3</f>
        <v>88.78</v>
      </c>
    </row>
    <row r="427" customFormat="false" ht="15" hidden="false" customHeight="false" outlineLevel="0" collapsed="false">
      <c r="A427" s="13" t="s">
        <v>236</v>
      </c>
      <c r="B427" s="13" t="n">
        <v>30</v>
      </c>
      <c r="C427" s="17" t="n">
        <f aca="false">B427/100*Notas!$B$3</f>
        <v>28.5</v>
      </c>
      <c r="D427" s="17" t="n">
        <f aca="false">26.69/95*Notas!$B$3</f>
        <v>26.69</v>
      </c>
      <c r="E427" s="17" t="n">
        <f aca="false">21.02/95*Notas!$B$3</f>
        <v>21.02</v>
      </c>
      <c r="F427" s="13" t="n">
        <v>3</v>
      </c>
      <c r="G427" s="17" t="n">
        <f aca="false">26.69/95*Notas!$B$3</f>
        <v>26.69</v>
      </c>
      <c r="H427" s="17" t="n">
        <f aca="false">17.02/95*Notas!$B$3</f>
        <v>17.02</v>
      </c>
      <c r="I427" s="17" t="n">
        <f aca="false">70.29/95*Notas!$B$3</f>
        <v>70.29</v>
      </c>
      <c r="J427" s="17" t="n">
        <f aca="false">96.04/95*Notas!$B$3</f>
        <v>96.04</v>
      </c>
    </row>
    <row r="428" customFormat="false" ht="15" hidden="false" customHeight="false" outlineLevel="0" collapsed="false">
      <c r="A428" s="13" t="s">
        <v>236</v>
      </c>
      <c r="B428" s="13" t="n">
        <v>31</v>
      </c>
      <c r="C428" s="17" t="n">
        <f aca="false">B428/100*Notas!$B$3</f>
        <v>29.45</v>
      </c>
      <c r="D428" s="17" t="n">
        <f aca="false">25.94/95*Notas!$B$3</f>
        <v>25.94</v>
      </c>
      <c r="E428" s="17" t="n">
        <f aca="false">20.81/95*Notas!$B$3</f>
        <v>20.81</v>
      </c>
      <c r="F428" s="13" t="n">
        <v>3</v>
      </c>
      <c r="G428" s="17" t="n">
        <f aca="false">25.94/95*Notas!$B$3</f>
        <v>25.94</v>
      </c>
      <c r="H428" s="17" t="n">
        <f aca="false">17.01/95*Notas!$B$3</f>
        <v>17.01</v>
      </c>
      <c r="I428" s="17" t="n">
        <f aca="false">68.69/95*Notas!$B$3</f>
        <v>68.69</v>
      </c>
      <c r="J428" s="17" t="n">
        <f aca="false">103.93/95*Notas!$B$3</f>
        <v>103.93</v>
      </c>
    </row>
    <row r="429" customFormat="false" ht="15" hidden="false" customHeight="false" outlineLevel="0" collapsed="false">
      <c r="A429" s="13" t="s">
        <v>236</v>
      </c>
      <c r="B429" s="13" t="n">
        <v>32</v>
      </c>
      <c r="C429" s="17" t="n">
        <f aca="false">B429/100*Notas!$B$3</f>
        <v>30.4</v>
      </c>
      <c r="D429" s="17" t="n">
        <f aca="false">25.19/95*Notas!$B$3</f>
        <v>25.19</v>
      </c>
      <c r="E429" s="17" t="n">
        <f aca="false">21.56/95*Notas!$B$3</f>
        <v>21.56</v>
      </c>
      <c r="F429" s="13" t="n">
        <v>2</v>
      </c>
      <c r="G429" s="17" t="n">
        <f aca="false">25.19/95*Notas!$B$3</f>
        <v>25.19</v>
      </c>
      <c r="H429" s="17" t="n">
        <f aca="false">21.56/95*Notas!$B$3</f>
        <v>21.56</v>
      </c>
      <c r="I429" s="17" t="n">
        <f aca="false">97.07/95*Notas!$B$3</f>
        <v>97.07</v>
      </c>
      <c r="J429" s="17" t="n">
        <f aca="false">103.09/95*Notas!$B$3</f>
        <v>103.09</v>
      </c>
    </row>
    <row r="430" customFormat="false" ht="15" hidden="false" customHeight="false" outlineLevel="0" collapsed="false">
      <c r="A430" s="13" t="s">
        <v>236</v>
      </c>
      <c r="B430" s="13" t="n">
        <v>33</v>
      </c>
      <c r="C430" s="17" t="n">
        <f aca="false">B430/100*Notas!$B$3</f>
        <v>31.35</v>
      </c>
      <c r="D430" s="17" t="n">
        <f aca="false">24.42/95*Notas!$B$3</f>
        <v>24.42</v>
      </c>
      <c r="E430" s="17" t="n">
        <f aca="false">21.07/95*Notas!$B$3</f>
        <v>21.07</v>
      </c>
      <c r="F430" s="13" t="n">
        <v>2</v>
      </c>
      <c r="G430" s="17" t="n">
        <f aca="false">24.42/95*Notas!$B$3</f>
        <v>24.42</v>
      </c>
      <c r="H430" s="17" t="n">
        <f aca="false">21.07/95*Notas!$B$3</f>
        <v>21.07</v>
      </c>
      <c r="I430" s="17" t="n">
        <f aca="false">76.49/95*Notas!$B$3</f>
        <v>76.49</v>
      </c>
      <c r="J430" s="17" t="n">
        <f aca="false">79.85/95*Notas!$B$3</f>
        <v>79.85</v>
      </c>
    </row>
    <row r="431" customFormat="false" ht="15" hidden="false" customHeight="false" outlineLevel="0" collapsed="false">
      <c r="A431" s="13" t="s">
        <v>236</v>
      </c>
      <c r="B431" s="13" t="n">
        <v>34</v>
      </c>
      <c r="C431" s="17" t="n">
        <f aca="false">B431/100*Notas!$B$3</f>
        <v>32.3</v>
      </c>
      <c r="D431" s="17" t="n">
        <f aca="false">23.94/95*Notas!$B$3</f>
        <v>23.94</v>
      </c>
      <c r="E431" s="17" t="n">
        <f aca="false">20.58/95*Notas!$B$3</f>
        <v>20.58</v>
      </c>
      <c r="F431" s="13" t="n">
        <v>1</v>
      </c>
      <c r="G431" s="17" t="n">
        <f aca="false">23.94/95*Notas!$B$3</f>
        <v>23.94</v>
      </c>
      <c r="H431" s="17" t="n">
        <f aca="false">20.58/95*Notas!$B$3</f>
        <v>20.58</v>
      </c>
      <c r="I431" s="17" t="n">
        <f aca="false">74.5/95*Notas!$B$3</f>
        <v>74.5</v>
      </c>
      <c r="J431" s="17" t="n">
        <f aca="false">74.5/95*Notas!$B$3</f>
        <v>74.5</v>
      </c>
    </row>
    <row r="432" customFormat="false" ht="15" hidden="false" customHeight="false" outlineLevel="0" collapsed="false">
      <c r="A432" s="13" t="s">
        <v>236</v>
      </c>
      <c r="B432" s="13" t="n">
        <v>35</v>
      </c>
      <c r="C432" s="17" t="n">
        <f aca="false">B432/100*Notas!$B$3</f>
        <v>33.25</v>
      </c>
      <c r="D432" s="17" t="n">
        <f aca="false">23.52/95*Notas!$B$3</f>
        <v>23.52</v>
      </c>
      <c r="E432" s="17" t="n">
        <f aca="false">20.19/95*Notas!$B$3</f>
        <v>20.19</v>
      </c>
      <c r="F432" s="13" t="n">
        <v>1</v>
      </c>
      <c r="G432" s="17" t="n">
        <f aca="false">23.52/95*Notas!$B$3</f>
        <v>23.52</v>
      </c>
      <c r="H432" s="17" t="n">
        <f aca="false">20.19/95*Notas!$B$3</f>
        <v>20.19</v>
      </c>
      <c r="I432" s="17" t="n">
        <f aca="false">73.09/95*Notas!$B$3</f>
        <v>73.09</v>
      </c>
      <c r="J432" s="17" t="n">
        <f aca="false">73.09/95*Notas!$B$3</f>
        <v>73.09</v>
      </c>
    </row>
    <row r="433" customFormat="false" ht="15" hidden="false" customHeight="false" outlineLevel="0" collapsed="false">
      <c r="A433" s="13" t="s">
        <v>236</v>
      </c>
      <c r="B433" s="13" t="n">
        <v>36</v>
      </c>
      <c r="C433" s="17" t="n">
        <f aca="false">B433/100*Notas!$B$3</f>
        <v>34.2</v>
      </c>
      <c r="D433" s="17" t="n">
        <f aca="false">22.93/95*Notas!$B$3</f>
        <v>22.93</v>
      </c>
      <c r="E433" s="17" t="n">
        <f aca="false">19.89/95*Notas!$B$3</f>
        <v>19.89</v>
      </c>
      <c r="F433" s="13" t="n">
        <v>1</v>
      </c>
      <c r="G433" s="17" t="n">
        <f aca="false">22.93/95*Notas!$B$3</f>
        <v>22.93</v>
      </c>
      <c r="H433" s="17" t="n">
        <f aca="false">19.89/95*Notas!$B$3</f>
        <v>19.89</v>
      </c>
      <c r="I433" s="17" t="n">
        <f aca="false">71.53/95*Notas!$B$3</f>
        <v>71.53</v>
      </c>
      <c r="J433" s="17" t="n">
        <f aca="false">71.53/95*Notas!$B$3</f>
        <v>71.53</v>
      </c>
    </row>
    <row r="434" customFormat="false" ht="15" hidden="false" customHeight="false" outlineLevel="0" collapsed="false">
      <c r="A434" s="13" t="s">
        <v>236</v>
      </c>
      <c r="B434" s="13" t="n">
        <v>37</v>
      </c>
      <c r="C434" s="17" t="n">
        <f aca="false">B434/100*Notas!$B$3</f>
        <v>35.15</v>
      </c>
      <c r="D434" s="17" t="n">
        <f aca="false">22.33/95*Notas!$B$3</f>
        <v>22.33</v>
      </c>
      <c r="E434" s="17" t="n">
        <f aca="false">19.69/95*Notas!$B$3</f>
        <v>19.69</v>
      </c>
      <c r="F434" s="13" t="n">
        <v>1</v>
      </c>
      <c r="G434" s="17" t="n">
        <f aca="false">22.33/95*Notas!$B$3</f>
        <v>22.33</v>
      </c>
      <c r="H434" s="17" t="n">
        <f aca="false">19.69/95*Notas!$B$3</f>
        <v>19.69</v>
      </c>
      <c r="I434" s="17" t="n">
        <f aca="false">70.08/95*Notas!$B$3</f>
        <v>70.08</v>
      </c>
      <c r="J434" s="17" t="n">
        <f aca="false">70.08/95*Notas!$B$3</f>
        <v>70.08</v>
      </c>
    </row>
    <row r="435" customFormat="false" ht="15" hidden="false" customHeight="false" outlineLevel="0" collapsed="false">
      <c r="A435" s="13" t="s">
        <v>236</v>
      </c>
      <c r="B435" s="13" t="n">
        <v>38</v>
      </c>
      <c r="C435" s="17" t="n">
        <f aca="false">B435/100*Notas!$B$3</f>
        <v>36.1</v>
      </c>
      <c r="D435" s="17" t="n">
        <f aca="false">21.73/95*Notas!$B$3</f>
        <v>21.73</v>
      </c>
      <c r="E435" s="17" t="n">
        <f aca="false">19.51/95*Notas!$B$3</f>
        <v>19.51</v>
      </c>
      <c r="F435" s="13" t="n">
        <v>1</v>
      </c>
      <c r="G435" s="17" t="n">
        <f aca="false">21.73/95*Notas!$B$3</f>
        <v>21.73</v>
      </c>
      <c r="H435" s="17" t="n">
        <f aca="false">19.51/95*Notas!$B$3</f>
        <v>19.51</v>
      </c>
      <c r="I435" s="17" t="n">
        <f aca="false">68.61/95*Notas!$B$3</f>
        <v>68.61</v>
      </c>
      <c r="J435" s="17" t="n">
        <f aca="false">68.61/95*Notas!$B$3</f>
        <v>68.61</v>
      </c>
    </row>
    <row r="436" customFormat="false" ht="15" hidden="false" customHeight="false" outlineLevel="0" collapsed="false">
      <c r="A436" s="13" t="s">
        <v>236</v>
      </c>
      <c r="B436" s="13" t="n">
        <v>39</v>
      </c>
      <c r="C436" s="17" t="n">
        <f aca="false">B436/100*Notas!$B$3</f>
        <v>37.05</v>
      </c>
      <c r="D436" s="17" t="n">
        <f aca="false">21.89/95*Notas!$B$3</f>
        <v>21.89</v>
      </c>
      <c r="E436" s="17" t="n">
        <f aca="false">19.37/95*Notas!$B$3</f>
        <v>19.37</v>
      </c>
      <c r="F436" s="13" t="n">
        <v>1</v>
      </c>
      <c r="G436" s="17" t="n">
        <f aca="false">21.89/95*Notas!$B$3</f>
        <v>21.89</v>
      </c>
      <c r="H436" s="17" t="n">
        <f aca="false">19.37/95*Notas!$B$3</f>
        <v>19.37</v>
      </c>
      <c r="I436" s="17" t="n">
        <f aca="false">68.35/95*Notas!$B$3</f>
        <v>68.35</v>
      </c>
      <c r="J436" s="17" t="n">
        <f aca="false">68.35/95*Notas!$B$3</f>
        <v>68.35</v>
      </c>
    </row>
    <row r="437" customFormat="false" ht="15" hidden="false" customHeight="false" outlineLevel="0" collapsed="false">
      <c r="A437" s="13" t="s">
        <v>236</v>
      </c>
      <c r="B437" s="13" t="n">
        <v>40</v>
      </c>
      <c r="C437" s="17" t="n">
        <f aca="false">B437/100*Notas!$B$3</f>
        <v>38</v>
      </c>
      <c r="D437" s="17" t="n">
        <f aca="false">22.07/95*Notas!$B$3</f>
        <v>22.07</v>
      </c>
      <c r="E437" s="17" t="n">
        <f aca="false">19.21/95*Notas!$B$3</f>
        <v>19.21</v>
      </c>
      <c r="F437" s="13" t="n">
        <v>1</v>
      </c>
      <c r="G437" s="17" t="n">
        <f aca="false">22.07/95*Notas!$B$3</f>
        <v>22.07</v>
      </c>
      <c r="H437" s="17" t="n">
        <f aca="false">19.21/95*Notas!$B$3</f>
        <v>19.21</v>
      </c>
      <c r="I437" s="17" t="n">
        <f aca="false">68.25/95*Notas!$B$3</f>
        <v>68.25</v>
      </c>
      <c r="J437" s="17" t="n">
        <f aca="false">68.25/95*Notas!$B$3</f>
        <v>68.25</v>
      </c>
    </row>
    <row r="438" customFormat="false" ht="15" hidden="false" customHeight="false" outlineLevel="0" collapsed="false">
      <c r="A438" s="13" t="s">
        <v>236</v>
      </c>
      <c r="B438" s="13" t="n">
        <v>41</v>
      </c>
      <c r="C438" s="17" t="n">
        <f aca="false">B438/100*Notas!$B$3</f>
        <v>38.95</v>
      </c>
      <c r="D438" s="17" t="n">
        <f aca="false">40.68/95*Notas!$B$3</f>
        <v>40.68</v>
      </c>
      <c r="E438" s="17" t="n">
        <f aca="false">19.06/95*Notas!$B$3</f>
        <v>19.06</v>
      </c>
      <c r="F438" s="13" t="n">
        <v>2</v>
      </c>
      <c r="G438" s="17" t="n">
        <f aca="false">22.72/95*Notas!$B$3</f>
        <v>22.72</v>
      </c>
      <c r="H438" s="17" t="n">
        <f aca="false">19.06/95*Notas!$B$3</f>
        <v>19.06</v>
      </c>
      <c r="I438" s="17" t="n">
        <f aca="false">68.34/95*Notas!$B$3</f>
        <v>68.34</v>
      </c>
      <c r="J438" s="17" t="n">
        <f aca="false">74.28/95*Notas!$B$3</f>
        <v>74.28</v>
      </c>
    </row>
    <row r="439" customFormat="false" ht="15" hidden="false" customHeight="false" outlineLevel="0" collapsed="false">
      <c r="A439" s="13" t="s">
        <v>236</v>
      </c>
      <c r="B439" s="13" t="n">
        <v>42</v>
      </c>
      <c r="C439" s="17" t="n">
        <f aca="false">B439/100*Notas!$B$3</f>
        <v>39.9</v>
      </c>
      <c r="D439" s="17" t="n">
        <f aca="false">58.91/95*Notas!$B$3</f>
        <v>58.91</v>
      </c>
      <c r="E439" s="17" t="n">
        <f aca="false">19.12/95*Notas!$B$3</f>
        <v>19.12</v>
      </c>
      <c r="F439" s="13" t="n">
        <v>3</v>
      </c>
      <c r="G439" s="17" t="n">
        <f aca="false">33.89/95*Notas!$B$3</f>
        <v>33.89</v>
      </c>
      <c r="H439" s="17" t="n">
        <f aca="false">19.12/95*Notas!$B$3</f>
        <v>19.12</v>
      </c>
      <c r="I439" s="17" t="n">
        <f aca="false">83.71/95*Notas!$B$3</f>
        <v>83.71</v>
      </c>
      <c r="J439" s="17" t="n">
        <f aca="false">122.4/95*Notas!$B$3</f>
        <v>122.4</v>
      </c>
    </row>
    <row r="440" customFormat="false" ht="15" hidden="false" customHeight="false" outlineLevel="0" collapsed="false">
      <c r="A440" s="13" t="s">
        <v>236</v>
      </c>
      <c r="B440" s="13" t="n">
        <v>43</v>
      </c>
      <c r="C440" s="17" t="n">
        <f aca="false">B440/100*Notas!$B$3</f>
        <v>40.85</v>
      </c>
      <c r="D440" s="17" t="n">
        <f aca="false">59.39/95*Notas!$B$3</f>
        <v>59.39</v>
      </c>
      <c r="E440" s="17" t="n">
        <f aca="false">19.74/95*Notas!$B$3</f>
        <v>19.74</v>
      </c>
      <c r="F440" s="13" t="n">
        <v>1</v>
      </c>
      <c r="G440" s="17" t="n">
        <f aca="false">59.39/95*Notas!$B$3</f>
        <v>59.39</v>
      </c>
      <c r="H440" s="17" t="n">
        <f aca="false">19.74/95*Notas!$B$3</f>
        <v>19.74</v>
      </c>
      <c r="I440" s="17" t="n">
        <f aca="false">162.58/95*Notas!$B$3</f>
        <v>162.58</v>
      </c>
      <c r="J440" s="17" t="n">
        <f aca="false">162.58/95*Notas!$B$3</f>
        <v>162.58</v>
      </c>
    </row>
    <row r="441" customFormat="false" ht="15" hidden="false" customHeight="false" outlineLevel="0" collapsed="false">
      <c r="A441" s="13" t="s">
        <v>236</v>
      </c>
      <c r="B441" s="13" t="n">
        <v>44</v>
      </c>
      <c r="C441" s="17" t="n">
        <f aca="false">B441/100*Notas!$B$3</f>
        <v>41.8</v>
      </c>
      <c r="D441" s="17" t="n">
        <f aca="false">75.35/95*Notas!$B$3</f>
        <v>75.35</v>
      </c>
      <c r="E441" s="17" t="n">
        <f aca="false">19.91/95*Notas!$B$3</f>
        <v>19.91</v>
      </c>
      <c r="F441" s="13" t="n">
        <v>2</v>
      </c>
      <c r="G441" s="17" t="n">
        <f aca="false">67.82/95*Notas!$B$3</f>
        <v>67.82</v>
      </c>
      <c r="H441" s="17" t="n">
        <f aca="false">19.91/95*Notas!$B$3</f>
        <v>19.91</v>
      </c>
      <c r="I441" s="17" t="n">
        <f aca="false">182.4/95*Notas!$B$3</f>
        <v>182.4</v>
      </c>
      <c r="J441" s="17" t="n">
        <f aca="false">186.55/95*Notas!$B$3</f>
        <v>186.55</v>
      </c>
    </row>
    <row r="442" customFormat="false" ht="15" hidden="false" customHeight="false" outlineLevel="0" collapsed="false">
      <c r="A442" s="13" t="s">
        <v>236</v>
      </c>
      <c r="B442" s="13" t="n">
        <v>45</v>
      </c>
      <c r="C442" s="17" t="n">
        <f aca="false">B442/100*Notas!$B$3</f>
        <v>42.75</v>
      </c>
      <c r="D442" s="17" t="n">
        <f aca="false">83.47/95*Notas!$B$3</f>
        <v>83.47</v>
      </c>
      <c r="E442" s="17" t="n">
        <f aca="false">21.09/95*Notas!$B$3</f>
        <v>21.09</v>
      </c>
      <c r="F442" s="13" t="n">
        <v>1</v>
      </c>
      <c r="G442" s="17" t="n">
        <f aca="false">83.47/95*Notas!$B$3</f>
        <v>83.47</v>
      </c>
      <c r="H442" s="17" t="n">
        <f aca="false">21.09/95*Notas!$B$3</f>
        <v>21.09</v>
      </c>
      <c r="I442" s="17" t="n">
        <f aca="false">233.5/95*Notas!$B$3</f>
        <v>233.5</v>
      </c>
      <c r="J442" s="17" t="n">
        <f aca="false">233.5/95*Notas!$B$3</f>
        <v>233.5</v>
      </c>
    </row>
    <row r="443" customFormat="false" ht="15" hidden="false" customHeight="false" outlineLevel="0" collapsed="false">
      <c r="A443" s="13" t="s">
        <v>236</v>
      </c>
      <c r="B443" s="13" t="n">
        <v>46</v>
      </c>
      <c r="C443" s="17" t="n">
        <f aca="false">B443/100*Notas!$B$3</f>
        <v>43.7</v>
      </c>
      <c r="D443" s="17" t="n">
        <f aca="false">83.15/95*Notas!$B$3</f>
        <v>83.15</v>
      </c>
      <c r="E443" s="17" t="n">
        <f aca="false">20.99/95*Notas!$B$3</f>
        <v>20.99</v>
      </c>
      <c r="F443" s="13" t="n">
        <v>1</v>
      </c>
      <c r="G443" s="17" t="n">
        <f aca="false">83.15/95*Notas!$B$3</f>
        <v>83.15</v>
      </c>
      <c r="H443" s="17" t="n">
        <f aca="false">20.99/95*Notas!$B$3</f>
        <v>20.99</v>
      </c>
      <c r="I443" s="17" t="n">
        <f aca="false">243.07/95*Notas!$B$3</f>
        <v>243.07</v>
      </c>
      <c r="J443" s="17" t="n">
        <f aca="false">243.07/95*Notas!$B$3</f>
        <v>243.07</v>
      </c>
    </row>
    <row r="444" customFormat="false" ht="15" hidden="false" customHeight="false" outlineLevel="0" collapsed="false">
      <c r="A444" s="13" t="s">
        <v>236</v>
      </c>
      <c r="B444" s="13" t="n">
        <v>47</v>
      </c>
      <c r="C444" s="17" t="n">
        <f aca="false">B444/100*Notas!$B$3</f>
        <v>44.65</v>
      </c>
      <c r="D444" s="17" t="n">
        <f aca="false">101.21/95*Notas!$B$3</f>
        <v>101.21</v>
      </c>
      <c r="E444" s="17" t="n">
        <f aca="false">19.97/95*Notas!$B$3</f>
        <v>19.97</v>
      </c>
      <c r="F444" s="13" t="n">
        <v>1</v>
      </c>
      <c r="G444" s="17" t="n">
        <f aca="false">101.21/95*Notas!$B$3</f>
        <v>101.21</v>
      </c>
      <c r="H444" s="17" t="n">
        <f aca="false">19.97/95*Notas!$B$3</f>
        <v>19.97</v>
      </c>
      <c r="I444" s="17" t="n">
        <f aca="false">302.64/95*Notas!$B$3</f>
        <v>302.64</v>
      </c>
      <c r="J444" s="17" t="n">
        <f aca="false">302.64/95*Notas!$B$3</f>
        <v>302.64</v>
      </c>
    </row>
    <row r="445" customFormat="false" ht="15" hidden="false" customHeight="false" outlineLevel="0" collapsed="false">
      <c r="A445" s="13" t="s">
        <v>236</v>
      </c>
      <c r="B445" s="13" t="n">
        <v>48</v>
      </c>
      <c r="C445" s="17" t="n">
        <f aca="false">B445/100*Notas!$B$3</f>
        <v>45.6</v>
      </c>
      <c r="D445" s="17" t="n">
        <f aca="false">101.31/95*Notas!$B$3</f>
        <v>101.31</v>
      </c>
      <c r="E445" s="17" t="n">
        <f aca="false">18.25/95*Notas!$B$3</f>
        <v>18.25</v>
      </c>
      <c r="F445" s="13" t="n">
        <v>1</v>
      </c>
      <c r="G445" s="17" t="n">
        <f aca="false">101.31/95*Notas!$B$3</f>
        <v>101.31</v>
      </c>
      <c r="H445" s="17" t="n">
        <f aca="false">18.25/95*Notas!$B$3</f>
        <v>18.25</v>
      </c>
      <c r="I445" s="17" t="n">
        <f aca="false">271.13/95*Notas!$B$3</f>
        <v>271.13</v>
      </c>
      <c r="J445" s="17" t="n">
        <f aca="false">271.13/95*Notas!$B$3</f>
        <v>271.13</v>
      </c>
    </row>
    <row r="446" customFormat="false" ht="15" hidden="false" customHeight="false" outlineLevel="0" collapsed="false">
      <c r="A446" s="13" t="s">
        <v>236</v>
      </c>
      <c r="B446" s="13" t="n">
        <v>49</v>
      </c>
      <c r="C446" s="17" t="n">
        <f aca="false">B446/100*Notas!$B$3</f>
        <v>46.55</v>
      </c>
      <c r="D446" s="17" t="n">
        <f aca="false">101.09/95*Notas!$B$3</f>
        <v>101.09</v>
      </c>
      <c r="E446" s="17" t="n">
        <f aca="false">17.69/95*Notas!$B$3</f>
        <v>17.69</v>
      </c>
      <c r="F446" s="13" t="n">
        <v>1</v>
      </c>
      <c r="G446" s="17" t="n">
        <f aca="false">101.09/95*Notas!$B$3</f>
        <v>101.09</v>
      </c>
      <c r="H446" s="17" t="n">
        <f aca="false">17.69/95*Notas!$B$3</f>
        <v>17.69</v>
      </c>
      <c r="I446" s="17" t="n">
        <f aca="false">260.29/95*Notas!$B$3</f>
        <v>260.29</v>
      </c>
      <c r="J446" s="17" t="n">
        <f aca="false">260.29/95*Notas!$B$3</f>
        <v>260.29</v>
      </c>
    </row>
    <row r="447" customFormat="false" ht="15" hidden="false" customHeight="false" outlineLevel="0" collapsed="false">
      <c r="A447" s="13" t="s">
        <v>236</v>
      </c>
      <c r="B447" s="13" t="n">
        <v>50</v>
      </c>
      <c r="C447" s="17" t="n">
        <f aca="false">B447/100*Notas!$B$3</f>
        <v>47.5</v>
      </c>
      <c r="D447" s="17" t="n">
        <f aca="false">99.1/95*Notas!$B$3</f>
        <v>99.1</v>
      </c>
      <c r="E447" s="17" t="n">
        <f aca="false">17.02/95*Notas!$B$3</f>
        <v>17.02</v>
      </c>
      <c r="F447" s="13" t="n">
        <v>1</v>
      </c>
      <c r="G447" s="17" t="n">
        <f aca="false">99.1/95*Notas!$B$3</f>
        <v>99.1</v>
      </c>
      <c r="H447" s="17" t="n">
        <f aca="false">17.02/95*Notas!$B$3</f>
        <v>17.02</v>
      </c>
      <c r="I447" s="17" t="n">
        <f aca="false">248.6/95*Notas!$B$3</f>
        <v>248.6</v>
      </c>
      <c r="J447" s="17" t="n">
        <f aca="false">248.6/95*Notas!$B$3</f>
        <v>248.6</v>
      </c>
    </row>
    <row r="448" customFormat="false" ht="15" hidden="false" customHeight="false" outlineLevel="0" collapsed="false">
      <c r="A448" s="13" t="s">
        <v>236</v>
      </c>
      <c r="B448" s="13" t="n">
        <v>51</v>
      </c>
      <c r="C448" s="17" t="n">
        <f aca="false">B448/100*Notas!$B$3</f>
        <v>48.45</v>
      </c>
      <c r="D448" s="17" t="n">
        <f aca="false">89.48/95*Notas!$B$3</f>
        <v>89.48</v>
      </c>
      <c r="E448" s="17" t="n">
        <f aca="false">16.32/95*Notas!$B$3</f>
        <v>16.32</v>
      </c>
      <c r="F448" s="13" t="n">
        <v>1</v>
      </c>
      <c r="G448" s="17" t="n">
        <f aca="false">89.48/95*Notas!$B$3</f>
        <v>89.48</v>
      </c>
      <c r="H448" s="17" t="n">
        <f aca="false">16.32/95*Notas!$B$3</f>
        <v>16.32</v>
      </c>
      <c r="I448" s="17" t="n">
        <f aca="false">220.55/95*Notas!$B$3</f>
        <v>220.55</v>
      </c>
      <c r="J448" s="17" t="n">
        <f aca="false">220.55/95*Notas!$B$3</f>
        <v>220.55</v>
      </c>
    </row>
    <row r="449" customFormat="false" ht="15" hidden="false" customHeight="false" outlineLevel="0" collapsed="false">
      <c r="A449" s="13" t="s">
        <v>236</v>
      </c>
      <c r="B449" s="13" t="n">
        <v>52</v>
      </c>
      <c r="C449" s="17" t="n">
        <f aca="false">B449/100*Notas!$B$3</f>
        <v>49.4</v>
      </c>
      <c r="D449" s="17" t="n">
        <f aca="false">74.09/95*Notas!$B$3</f>
        <v>74.09</v>
      </c>
      <c r="E449" s="17" t="n">
        <f aca="false">14.78/95*Notas!$B$3</f>
        <v>14.78</v>
      </c>
      <c r="F449" s="13" t="n">
        <v>1</v>
      </c>
      <c r="G449" s="17" t="n">
        <f aca="false">74.09/95*Notas!$B$3</f>
        <v>74.09</v>
      </c>
      <c r="H449" s="17" t="n">
        <f aca="false">14.78/95*Notas!$B$3</f>
        <v>14.78</v>
      </c>
      <c r="I449" s="17" t="n">
        <f aca="false">184.04/95*Notas!$B$3</f>
        <v>184.04</v>
      </c>
      <c r="J449" s="17" t="n">
        <f aca="false">184.04/95*Notas!$B$3</f>
        <v>184.04</v>
      </c>
    </row>
    <row r="450" customFormat="false" ht="15" hidden="false" customHeight="false" outlineLevel="0" collapsed="false">
      <c r="A450" s="13" t="s">
        <v>236</v>
      </c>
      <c r="B450" s="13" t="n">
        <v>53</v>
      </c>
      <c r="C450" s="17" t="n">
        <f aca="false">B450/100*Notas!$B$3</f>
        <v>50.35</v>
      </c>
      <c r="D450" s="17" t="n">
        <f aca="false">59.12/95*Notas!$B$3</f>
        <v>59.12</v>
      </c>
      <c r="E450" s="17" t="n">
        <f aca="false">11.99/95*Notas!$B$3</f>
        <v>11.99</v>
      </c>
      <c r="F450" s="13" t="n">
        <v>3</v>
      </c>
      <c r="G450" s="17" t="n">
        <f aca="false">59.12/95*Notas!$B$3</f>
        <v>59.12</v>
      </c>
      <c r="H450" s="17" t="n">
        <f aca="false">11.99/95*Notas!$B$3</f>
        <v>11.99</v>
      </c>
      <c r="I450" s="17" t="n">
        <f aca="false">150.01/95*Notas!$B$3</f>
        <v>150.01</v>
      </c>
      <c r="J450" s="17" t="n">
        <f aca="false">174.55/95*Notas!$B$3</f>
        <v>174.55</v>
      </c>
    </row>
    <row r="451" customFormat="false" ht="15" hidden="false" customHeight="false" outlineLevel="0" collapsed="false">
      <c r="A451" s="13" t="s">
        <v>236</v>
      </c>
      <c r="B451" s="13" t="n">
        <v>54</v>
      </c>
      <c r="C451" s="17" t="n">
        <f aca="false">B451/100*Notas!$B$3</f>
        <v>51.3</v>
      </c>
      <c r="D451" s="17" t="n">
        <f aca="false">59.09/95*Notas!$B$3</f>
        <v>59.09</v>
      </c>
      <c r="E451" s="17" t="n">
        <f aca="false">12.91/95*Notas!$B$3</f>
        <v>12.91</v>
      </c>
      <c r="F451" s="13" t="n">
        <v>6</v>
      </c>
      <c r="G451" s="17" t="n">
        <f aca="false">23.12/95*Notas!$B$3</f>
        <v>23.12</v>
      </c>
      <c r="H451" s="17" t="n">
        <f aca="false">10.33/95*Notas!$B$3</f>
        <v>10.33</v>
      </c>
      <c r="I451" s="17" t="n">
        <f aca="false">71.66/95*Notas!$B$3</f>
        <v>71.66</v>
      </c>
      <c r="J451" s="17" t="n">
        <f aca="false">106.59/95*Notas!$B$3</f>
        <v>106.59</v>
      </c>
    </row>
    <row r="452" customFormat="false" ht="15" hidden="false" customHeight="false" outlineLevel="0" collapsed="false">
      <c r="A452" s="13" t="s">
        <v>236</v>
      </c>
      <c r="B452" s="13" t="n">
        <v>55</v>
      </c>
      <c r="C452" s="17" t="n">
        <f aca="false">B452/100*Notas!$B$3</f>
        <v>52.25</v>
      </c>
      <c r="D452" s="17" t="n">
        <f aca="false">28.21/95*Notas!$B$3</f>
        <v>28.21</v>
      </c>
      <c r="E452" s="17" t="n">
        <f aca="false">16.47/95*Notas!$B$3</f>
        <v>16.47</v>
      </c>
      <c r="F452" s="13" t="n">
        <v>2</v>
      </c>
      <c r="G452" s="17" t="n">
        <f aca="false">21.32/95*Notas!$B$3</f>
        <v>21.32</v>
      </c>
      <c r="H452" s="17" t="n">
        <f aca="false">16.47/95*Notas!$B$3</f>
        <v>16.47</v>
      </c>
      <c r="I452" s="17" t="n">
        <f aca="false">70.78/95*Notas!$B$3</f>
        <v>70.78</v>
      </c>
      <c r="J452" s="17" t="n">
        <f aca="false">76.31/95*Notas!$B$3</f>
        <v>76.31</v>
      </c>
    </row>
    <row r="453" customFormat="false" ht="15" hidden="false" customHeight="false" outlineLevel="0" collapsed="false">
      <c r="A453" s="13" t="s">
        <v>236</v>
      </c>
      <c r="B453" s="13" t="n">
        <v>56</v>
      </c>
      <c r="C453" s="17" t="n">
        <f aca="false">B453/100*Notas!$B$3</f>
        <v>53.2</v>
      </c>
      <c r="D453" s="17" t="n">
        <f aca="false">33.44/95*Notas!$B$3</f>
        <v>33.44</v>
      </c>
      <c r="E453" s="17" t="n">
        <f aca="false">22.45/95*Notas!$B$3</f>
        <v>22.45</v>
      </c>
      <c r="F453" s="13" t="n">
        <v>3</v>
      </c>
      <c r="G453" s="17" t="n">
        <f aca="false">27.47/95*Notas!$B$3</f>
        <v>27.47</v>
      </c>
      <c r="H453" s="17" t="n">
        <f aca="false">22.45/95*Notas!$B$3</f>
        <v>22.45</v>
      </c>
      <c r="I453" s="17" t="n">
        <f aca="false">81.46/95*Notas!$B$3</f>
        <v>81.46</v>
      </c>
      <c r="J453" s="17" t="n">
        <f aca="false">94.24/95*Notas!$B$3</f>
        <v>94.24</v>
      </c>
    </row>
    <row r="454" customFormat="false" ht="15" hidden="false" customHeight="false" outlineLevel="0" collapsed="false">
      <c r="A454" s="13" t="s">
        <v>236</v>
      </c>
      <c r="B454" s="13" t="n">
        <v>57</v>
      </c>
      <c r="C454" s="17" t="n">
        <f aca="false">B454/100*Notas!$B$3</f>
        <v>54.15</v>
      </c>
      <c r="D454" s="17" t="n">
        <f aca="false">34.35/95*Notas!$B$3</f>
        <v>34.35</v>
      </c>
      <c r="E454" s="17" t="n">
        <f aca="false">23.73/95*Notas!$B$3</f>
        <v>23.73</v>
      </c>
      <c r="F454" s="13" t="n">
        <v>2</v>
      </c>
      <c r="G454" s="17" t="n">
        <f aca="false">30.34/95*Notas!$B$3</f>
        <v>30.34</v>
      </c>
      <c r="H454" s="17" t="n">
        <f aca="false">23.73/95*Notas!$B$3</f>
        <v>23.73</v>
      </c>
      <c r="I454" s="17" t="n">
        <f aca="false">92.01/95*Notas!$B$3</f>
        <v>92.01</v>
      </c>
      <c r="J454" s="17" t="n">
        <f aca="false">102.25/95*Notas!$B$3</f>
        <v>102.25</v>
      </c>
    </row>
    <row r="455" customFormat="false" ht="15" hidden="false" customHeight="false" outlineLevel="0" collapsed="false">
      <c r="A455" s="13" t="s">
        <v>236</v>
      </c>
      <c r="B455" s="13" t="n">
        <v>58</v>
      </c>
      <c r="C455" s="17" t="n">
        <f aca="false">B455/100*Notas!$B$3</f>
        <v>55.1</v>
      </c>
      <c r="D455" s="17" t="n">
        <f aca="false">35.14/95*Notas!$B$3</f>
        <v>35.14</v>
      </c>
      <c r="E455" s="17" t="n">
        <f aca="false">24.35/95*Notas!$B$3</f>
        <v>24.35</v>
      </c>
      <c r="F455" s="13" t="n">
        <v>2</v>
      </c>
      <c r="G455" s="17" t="n">
        <f aca="false">31.08/95*Notas!$B$3</f>
        <v>31.08</v>
      </c>
      <c r="H455" s="17" t="n">
        <f aca="false">24.35/95*Notas!$B$3</f>
        <v>24.35</v>
      </c>
      <c r="I455" s="17" t="n">
        <f aca="false">94.64/95*Notas!$B$3</f>
        <v>94.64</v>
      </c>
      <c r="J455" s="17" t="n">
        <f aca="false">107.99/95*Notas!$B$3</f>
        <v>107.99</v>
      </c>
    </row>
    <row r="456" customFormat="false" ht="15" hidden="false" customHeight="false" outlineLevel="0" collapsed="false">
      <c r="A456" s="13" t="s">
        <v>236</v>
      </c>
      <c r="B456" s="13" t="n">
        <v>59</v>
      </c>
      <c r="C456" s="17" t="n">
        <f aca="false">B456/100*Notas!$B$3</f>
        <v>56.05</v>
      </c>
      <c r="D456" s="17" t="n">
        <f aca="false">36.17/95*Notas!$B$3</f>
        <v>36.17</v>
      </c>
      <c r="E456" s="17" t="n">
        <f aca="false">24.95/95*Notas!$B$3</f>
        <v>24.95</v>
      </c>
      <c r="F456" s="13" t="n">
        <v>3</v>
      </c>
      <c r="G456" s="17" t="n">
        <f aca="false">31.82/95*Notas!$B$3</f>
        <v>31.82</v>
      </c>
      <c r="H456" s="17" t="n">
        <f aca="false">24.95/95*Notas!$B$3</f>
        <v>24.95</v>
      </c>
      <c r="I456" s="17" t="n">
        <f aca="false">97.73/95*Notas!$B$3</f>
        <v>97.73</v>
      </c>
      <c r="J456" s="17" t="n">
        <f aca="false">115.18/95*Notas!$B$3</f>
        <v>115.18</v>
      </c>
    </row>
    <row r="457" customFormat="false" ht="15" hidden="false" customHeight="false" outlineLevel="0" collapsed="false">
      <c r="A457" s="13" t="s">
        <v>236</v>
      </c>
      <c r="B457" s="13" t="n">
        <v>60</v>
      </c>
      <c r="C457" s="17" t="n">
        <f aca="false">B457/100*Notas!$B$3</f>
        <v>57</v>
      </c>
      <c r="D457" s="17" t="n">
        <f aca="false">42.15/95*Notas!$B$3</f>
        <v>42.15</v>
      </c>
      <c r="E457" s="17" t="n">
        <f aca="false">25.39/95*Notas!$B$3</f>
        <v>25.39</v>
      </c>
      <c r="F457" s="13" t="n">
        <v>2</v>
      </c>
      <c r="G457" s="17" t="n">
        <f aca="false">42.15/95*Notas!$B$3</f>
        <v>42.15</v>
      </c>
      <c r="H457" s="17" t="n">
        <f aca="false">25.39/95*Notas!$B$3</f>
        <v>25.39</v>
      </c>
      <c r="I457" s="17" t="n">
        <f aca="false">119.78/95*Notas!$B$3</f>
        <v>119.78</v>
      </c>
      <c r="J457" s="17" t="n">
        <f aca="false">139.53/95*Notas!$B$3</f>
        <v>139.53</v>
      </c>
    </row>
    <row r="458" customFormat="false" ht="15" hidden="false" customHeight="false" outlineLevel="0" collapsed="false">
      <c r="A458" s="13" t="s">
        <v>236</v>
      </c>
      <c r="B458" s="13" t="n">
        <v>61</v>
      </c>
      <c r="C458" s="17" t="n">
        <f aca="false">B458/100*Notas!$B$3</f>
        <v>57.95</v>
      </c>
      <c r="D458" s="17" t="n">
        <f aca="false">44.92/95*Notas!$B$3</f>
        <v>44.92</v>
      </c>
      <c r="E458" s="17" t="n">
        <f aca="false">25.79/95*Notas!$B$3</f>
        <v>25.79</v>
      </c>
      <c r="F458" s="13" t="n">
        <v>1</v>
      </c>
      <c r="G458" s="17" t="n">
        <f aca="false">44.92/95*Notas!$B$3</f>
        <v>44.92</v>
      </c>
      <c r="H458" s="17" t="n">
        <f aca="false">25.79/95*Notas!$B$3</f>
        <v>25.79</v>
      </c>
      <c r="I458" s="17" t="n">
        <f aca="false">147.71/95*Notas!$B$3</f>
        <v>147.71</v>
      </c>
      <c r="J458" s="17" t="n">
        <f aca="false">147.71/95*Notas!$B$3</f>
        <v>147.71</v>
      </c>
    </row>
    <row r="459" customFormat="false" ht="15" hidden="false" customHeight="false" outlineLevel="0" collapsed="false">
      <c r="A459" s="13" t="s">
        <v>236</v>
      </c>
      <c r="B459" s="13" t="n">
        <v>62</v>
      </c>
      <c r="C459" s="17" t="n">
        <f aca="false">B459/100*Notas!$B$3</f>
        <v>58.9</v>
      </c>
      <c r="D459" s="17" t="n">
        <f aca="false">45.84/95*Notas!$B$3</f>
        <v>45.84</v>
      </c>
      <c r="E459" s="17" t="n">
        <f aca="false">26.66/95*Notas!$B$3</f>
        <v>26.66</v>
      </c>
      <c r="F459" s="13" t="n">
        <v>1</v>
      </c>
      <c r="G459" s="17" t="n">
        <f aca="false">45.84/95*Notas!$B$3</f>
        <v>45.84</v>
      </c>
      <c r="H459" s="17" t="n">
        <f aca="false">26.66/95*Notas!$B$3</f>
        <v>26.66</v>
      </c>
      <c r="I459" s="17" t="n">
        <f aca="false">149.92/95*Notas!$B$3</f>
        <v>149.92</v>
      </c>
      <c r="J459" s="17" t="n">
        <f aca="false">149.92/95*Notas!$B$3</f>
        <v>149.92</v>
      </c>
    </row>
    <row r="460" customFormat="false" ht="15" hidden="false" customHeight="false" outlineLevel="0" collapsed="false">
      <c r="A460" s="13" t="s">
        <v>236</v>
      </c>
      <c r="B460" s="13" t="n">
        <v>63</v>
      </c>
      <c r="C460" s="17" t="n">
        <f aca="false">B460/100*Notas!$B$3</f>
        <v>59.85</v>
      </c>
      <c r="D460" s="17" t="n">
        <f aca="false">46.1/95*Notas!$B$3</f>
        <v>46.1</v>
      </c>
      <c r="E460" s="17" t="n">
        <f aca="false">28.08/95*Notas!$B$3</f>
        <v>28.08</v>
      </c>
      <c r="F460" s="13" t="n">
        <v>1</v>
      </c>
      <c r="G460" s="17" t="n">
        <f aca="false">46.1/95*Notas!$B$3</f>
        <v>46.1</v>
      </c>
      <c r="H460" s="17" t="n">
        <f aca="false">28.08/95*Notas!$B$3</f>
        <v>28.08</v>
      </c>
      <c r="I460" s="17" t="n">
        <f aca="false">154.63/95*Notas!$B$3</f>
        <v>154.63</v>
      </c>
      <c r="J460" s="17" t="n">
        <f aca="false">154.63/95*Notas!$B$3</f>
        <v>154.63</v>
      </c>
    </row>
    <row r="461" customFormat="false" ht="15" hidden="false" customHeight="false" outlineLevel="0" collapsed="false">
      <c r="A461" s="13" t="s">
        <v>236</v>
      </c>
      <c r="B461" s="13" t="n">
        <v>64</v>
      </c>
      <c r="C461" s="17" t="n">
        <f aca="false">B461/100*Notas!$B$3</f>
        <v>60.8</v>
      </c>
      <c r="D461" s="17" t="n">
        <f aca="false">46.17/95*Notas!$B$3</f>
        <v>46.17</v>
      </c>
      <c r="E461" s="17" t="n">
        <f aca="false">29.98/95*Notas!$B$3</f>
        <v>29.98</v>
      </c>
      <c r="F461" s="13" t="n">
        <v>1</v>
      </c>
      <c r="G461" s="17" t="n">
        <f aca="false">46.17/95*Notas!$B$3</f>
        <v>46.17</v>
      </c>
      <c r="H461" s="17" t="n">
        <f aca="false">29.98/95*Notas!$B$3</f>
        <v>29.98</v>
      </c>
      <c r="I461" s="17" t="n">
        <f aca="false">159.11/95*Notas!$B$3</f>
        <v>159.11</v>
      </c>
      <c r="J461" s="17" t="n">
        <f aca="false">159.11/95*Notas!$B$3</f>
        <v>159.11</v>
      </c>
    </row>
    <row r="462" customFormat="false" ht="15" hidden="false" customHeight="false" outlineLevel="0" collapsed="false">
      <c r="A462" s="13" t="s">
        <v>236</v>
      </c>
      <c r="B462" s="13" t="n">
        <v>65</v>
      </c>
      <c r="C462" s="17" t="n">
        <f aca="false">B462/100*Notas!$B$3</f>
        <v>61.75</v>
      </c>
      <c r="D462" s="17" t="n">
        <f aca="false">46.17/95*Notas!$B$3</f>
        <v>46.17</v>
      </c>
      <c r="E462" s="17" t="n">
        <f aca="false">30.46/95*Notas!$B$3</f>
        <v>30.46</v>
      </c>
      <c r="F462" s="13" t="n">
        <v>1</v>
      </c>
      <c r="G462" s="17" t="n">
        <f aca="false">46.17/95*Notas!$B$3</f>
        <v>46.17</v>
      </c>
      <c r="H462" s="17" t="n">
        <f aca="false">30.46/95*Notas!$B$3</f>
        <v>30.46</v>
      </c>
      <c r="I462" s="17" t="n">
        <f aca="false">160.73/95*Notas!$B$3</f>
        <v>160.73</v>
      </c>
      <c r="J462" s="17" t="n">
        <f aca="false">160.73/95*Notas!$B$3</f>
        <v>160.73</v>
      </c>
    </row>
    <row r="463" customFormat="false" ht="15" hidden="false" customHeight="false" outlineLevel="0" collapsed="false">
      <c r="A463" s="13" t="s">
        <v>236</v>
      </c>
      <c r="B463" s="13" t="n">
        <v>66</v>
      </c>
      <c r="C463" s="17" t="n">
        <f aca="false">B463/100*Notas!$B$3</f>
        <v>62.7</v>
      </c>
      <c r="D463" s="17" t="n">
        <f aca="false">46.17/95*Notas!$B$3</f>
        <v>46.17</v>
      </c>
      <c r="E463" s="17" t="n">
        <f aca="false">30.72/95*Notas!$B$3</f>
        <v>30.72</v>
      </c>
      <c r="F463" s="13" t="n">
        <v>1</v>
      </c>
      <c r="G463" s="17" t="n">
        <f aca="false">46.17/95*Notas!$B$3</f>
        <v>46.17</v>
      </c>
      <c r="H463" s="17" t="n">
        <f aca="false">30.72/95*Notas!$B$3</f>
        <v>30.72</v>
      </c>
      <c r="I463" s="17" t="n">
        <f aca="false">162.35/95*Notas!$B$3</f>
        <v>162.35</v>
      </c>
      <c r="J463" s="17" t="n">
        <f aca="false">162.35/95*Notas!$B$3</f>
        <v>162.35</v>
      </c>
    </row>
    <row r="464" customFormat="false" ht="15" hidden="false" customHeight="false" outlineLevel="0" collapsed="false">
      <c r="A464" s="13" t="s">
        <v>236</v>
      </c>
      <c r="B464" s="13" t="n">
        <v>67</v>
      </c>
      <c r="C464" s="17" t="n">
        <f aca="false">B464/100*Notas!$B$3</f>
        <v>63.65</v>
      </c>
      <c r="D464" s="17" t="n">
        <f aca="false">46.15/95*Notas!$B$3</f>
        <v>46.15</v>
      </c>
      <c r="E464" s="17" t="n">
        <f aca="false">31.07/95*Notas!$B$3</f>
        <v>31.07</v>
      </c>
      <c r="F464" s="13" t="n">
        <v>1</v>
      </c>
      <c r="G464" s="17" t="n">
        <f aca="false">46.15/95*Notas!$B$3</f>
        <v>46.15</v>
      </c>
      <c r="H464" s="17" t="n">
        <f aca="false">31.07/95*Notas!$B$3</f>
        <v>31.07</v>
      </c>
      <c r="I464" s="17" t="n">
        <f aca="false">161.49/95*Notas!$B$3</f>
        <v>161.49</v>
      </c>
      <c r="J464" s="17" t="n">
        <f aca="false">161.49/95*Notas!$B$3</f>
        <v>161.49</v>
      </c>
    </row>
    <row r="465" customFormat="false" ht="15" hidden="false" customHeight="false" outlineLevel="0" collapsed="false">
      <c r="A465" s="13" t="s">
        <v>236</v>
      </c>
      <c r="B465" s="13" t="n">
        <v>68</v>
      </c>
      <c r="C465" s="17" t="n">
        <f aca="false">B465/100*Notas!$B$3</f>
        <v>64.6</v>
      </c>
      <c r="D465" s="17" t="n">
        <f aca="false">46.05/95*Notas!$B$3</f>
        <v>46.05</v>
      </c>
      <c r="E465" s="17" t="n">
        <f aca="false">31.94/95*Notas!$B$3</f>
        <v>31.94</v>
      </c>
      <c r="F465" s="13" t="n">
        <v>1</v>
      </c>
      <c r="G465" s="17" t="n">
        <f aca="false">46.05/95*Notas!$B$3</f>
        <v>46.05</v>
      </c>
      <c r="H465" s="17" t="n">
        <f aca="false">31.94/95*Notas!$B$3</f>
        <v>31.94</v>
      </c>
      <c r="I465" s="17" t="n">
        <f aca="false">161.62/95*Notas!$B$3</f>
        <v>161.62</v>
      </c>
      <c r="J465" s="17" t="n">
        <f aca="false">161.62/95*Notas!$B$3</f>
        <v>161.62</v>
      </c>
    </row>
    <row r="466" customFormat="false" ht="15" hidden="false" customHeight="false" outlineLevel="0" collapsed="false">
      <c r="A466" s="13" t="s">
        <v>236</v>
      </c>
      <c r="B466" s="13" t="n">
        <v>69</v>
      </c>
      <c r="C466" s="17" t="n">
        <f aca="false">B466/100*Notas!$B$3</f>
        <v>65.55</v>
      </c>
      <c r="D466" s="17" t="n">
        <f aca="false">45.53/95*Notas!$B$3</f>
        <v>45.53</v>
      </c>
      <c r="E466" s="17" t="n">
        <f aca="false">32.81/95*Notas!$B$3</f>
        <v>32.81</v>
      </c>
      <c r="F466" s="13" t="n">
        <v>1</v>
      </c>
      <c r="G466" s="17" t="n">
        <f aca="false">45.53/95*Notas!$B$3</f>
        <v>45.53</v>
      </c>
      <c r="H466" s="17" t="n">
        <f aca="false">32.81/95*Notas!$B$3</f>
        <v>32.81</v>
      </c>
      <c r="I466" s="17" t="n">
        <f aca="false">154.33/95*Notas!$B$3</f>
        <v>154.33</v>
      </c>
      <c r="J466" s="17" t="n">
        <f aca="false">154.33/95*Notas!$B$3</f>
        <v>154.33</v>
      </c>
    </row>
    <row r="467" customFormat="false" ht="15" hidden="false" customHeight="false" outlineLevel="0" collapsed="false">
      <c r="A467" s="13" t="s">
        <v>236</v>
      </c>
      <c r="B467" s="13" t="n">
        <v>70</v>
      </c>
      <c r="C467" s="17" t="n">
        <f aca="false">B467/100*Notas!$B$3</f>
        <v>66.5</v>
      </c>
      <c r="D467" s="17" t="n">
        <f aca="false">44.31/95*Notas!$B$3</f>
        <v>44.31</v>
      </c>
      <c r="E467" s="17" t="n">
        <f aca="false">33.73/95*Notas!$B$3</f>
        <v>33.73</v>
      </c>
      <c r="F467" s="13" t="n">
        <v>1</v>
      </c>
      <c r="G467" s="17" t="n">
        <f aca="false">44.31/95*Notas!$B$3</f>
        <v>44.31</v>
      </c>
      <c r="H467" s="17" t="n">
        <f aca="false">33.73/95*Notas!$B$3</f>
        <v>33.73</v>
      </c>
      <c r="I467" s="17" t="n">
        <f aca="false">150.43/95*Notas!$B$3</f>
        <v>150.43</v>
      </c>
      <c r="J467" s="17" t="n">
        <f aca="false">150.43/95*Notas!$B$3</f>
        <v>150.43</v>
      </c>
    </row>
    <row r="468" customFormat="false" ht="15" hidden="false" customHeight="false" outlineLevel="0" collapsed="false">
      <c r="A468" s="13" t="s">
        <v>236</v>
      </c>
      <c r="B468" s="13" t="n">
        <v>71</v>
      </c>
      <c r="C468" s="17" t="n">
        <f aca="false">B468/100*Notas!$B$3</f>
        <v>67.45</v>
      </c>
      <c r="D468" s="17" t="n">
        <f aca="false">43.59/95*Notas!$B$3</f>
        <v>43.59</v>
      </c>
      <c r="E468" s="17" t="n">
        <f aca="false">34.68/95*Notas!$B$3</f>
        <v>34.68</v>
      </c>
      <c r="F468" s="13" t="n">
        <v>1</v>
      </c>
      <c r="G468" s="17" t="n">
        <f aca="false">43.59/95*Notas!$B$3</f>
        <v>43.59</v>
      </c>
      <c r="H468" s="17" t="n">
        <f aca="false">34.68/95*Notas!$B$3</f>
        <v>34.68</v>
      </c>
      <c r="I468" s="17" t="n">
        <f aca="false">146.74/95*Notas!$B$3</f>
        <v>146.74</v>
      </c>
      <c r="J468" s="17" t="n">
        <f aca="false">146.74/95*Notas!$B$3</f>
        <v>146.74</v>
      </c>
    </row>
    <row r="469" customFormat="false" ht="15" hidden="false" customHeight="false" outlineLevel="0" collapsed="false">
      <c r="A469" s="13" t="s">
        <v>236</v>
      </c>
      <c r="B469" s="13" t="n">
        <v>72</v>
      </c>
      <c r="C469" s="17" t="n">
        <f aca="false">B469/100*Notas!$B$3</f>
        <v>68.4</v>
      </c>
      <c r="D469" s="17" t="n">
        <f aca="false">43.23/95*Notas!$B$3</f>
        <v>43.23</v>
      </c>
      <c r="E469" s="17" t="n">
        <f aca="false">35.61/95*Notas!$B$3</f>
        <v>35.61</v>
      </c>
      <c r="F469" s="13" t="n">
        <v>1</v>
      </c>
      <c r="G469" s="17" t="n">
        <f aca="false">43.23/95*Notas!$B$3</f>
        <v>43.23</v>
      </c>
      <c r="H469" s="17" t="n">
        <f aca="false">35.61/95*Notas!$B$3</f>
        <v>35.61</v>
      </c>
      <c r="I469" s="17" t="n">
        <f aca="false">148.43/95*Notas!$B$3</f>
        <v>148.43</v>
      </c>
      <c r="J469" s="17" t="n">
        <f aca="false">148.43/95*Notas!$B$3</f>
        <v>148.43</v>
      </c>
    </row>
    <row r="470" customFormat="false" ht="15" hidden="false" customHeight="false" outlineLevel="0" collapsed="false">
      <c r="A470" s="13" t="s">
        <v>236</v>
      </c>
      <c r="B470" s="13" t="n">
        <v>73</v>
      </c>
      <c r="C470" s="17" t="n">
        <f aca="false">B470/100*Notas!$B$3</f>
        <v>69.35</v>
      </c>
      <c r="D470" s="17" t="n">
        <f aca="false">43.61/95*Notas!$B$3</f>
        <v>43.61</v>
      </c>
      <c r="E470" s="17" t="n">
        <f aca="false">35.97/95*Notas!$B$3</f>
        <v>35.97</v>
      </c>
      <c r="F470" s="13" t="n">
        <v>1</v>
      </c>
      <c r="G470" s="17" t="n">
        <f aca="false">43.61/95*Notas!$B$3</f>
        <v>43.61</v>
      </c>
      <c r="H470" s="17" t="n">
        <f aca="false">35.97/95*Notas!$B$3</f>
        <v>35.97</v>
      </c>
      <c r="I470" s="17" t="n">
        <f aca="false">151.14/95*Notas!$B$3</f>
        <v>151.14</v>
      </c>
      <c r="J470" s="17" t="n">
        <f aca="false">151.14/95*Notas!$B$3</f>
        <v>151.14</v>
      </c>
    </row>
    <row r="471" customFormat="false" ht="15" hidden="false" customHeight="false" outlineLevel="0" collapsed="false">
      <c r="A471" s="13" t="s">
        <v>236</v>
      </c>
      <c r="B471" s="13" t="n">
        <v>74</v>
      </c>
      <c r="C471" s="17" t="n">
        <f aca="false">B471/100*Notas!$B$3</f>
        <v>70.3</v>
      </c>
      <c r="D471" s="17" t="n">
        <f aca="false">44.35/95*Notas!$B$3</f>
        <v>44.35</v>
      </c>
      <c r="E471" s="17" t="n">
        <f aca="false">36.21/95*Notas!$B$3</f>
        <v>36.21</v>
      </c>
      <c r="F471" s="13" t="n">
        <v>1</v>
      </c>
      <c r="G471" s="17" t="n">
        <f aca="false">44.35/95*Notas!$B$3</f>
        <v>44.35</v>
      </c>
      <c r="H471" s="17" t="n">
        <f aca="false">36.21/95*Notas!$B$3</f>
        <v>36.21</v>
      </c>
      <c r="I471" s="17" t="n">
        <f aca="false">153.53/95*Notas!$B$3</f>
        <v>153.53</v>
      </c>
      <c r="J471" s="17" t="n">
        <f aca="false">153.53/95*Notas!$B$3</f>
        <v>153.53</v>
      </c>
    </row>
    <row r="472" customFormat="false" ht="15" hidden="false" customHeight="false" outlineLevel="0" collapsed="false">
      <c r="A472" s="13" t="s">
        <v>236</v>
      </c>
      <c r="B472" s="13" t="n">
        <v>75</v>
      </c>
      <c r="C472" s="17" t="n">
        <f aca="false">B472/100*Notas!$B$3</f>
        <v>71.25</v>
      </c>
      <c r="D472" s="17" t="n">
        <f aca="false">45.46/95*Notas!$B$3</f>
        <v>45.46</v>
      </c>
      <c r="E472" s="17" t="n">
        <f aca="false">36.39/95*Notas!$B$3</f>
        <v>36.39</v>
      </c>
      <c r="F472" s="13" t="n">
        <v>1</v>
      </c>
      <c r="G472" s="17" t="n">
        <f aca="false">45.46/95*Notas!$B$3</f>
        <v>45.46</v>
      </c>
      <c r="H472" s="17" t="n">
        <f aca="false">36.39/95*Notas!$B$3</f>
        <v>36.39</v>
      </c>
      <c r="I472" s="17" t="n">
        <f aca="false">155.18/95*Notas!$B$3</f>
        <v>155.18</v>
      </c>
      <c r="J472" s="17" t="n">
        <f aca="false">155.18/95*Notas!$B$3</f>
        <v>155.18</v>
      </c>
    </row>
    <row r="473" customFormat="false" ht="15" hidden="false" customHeight="false" outlineLevel="0" collapsed="false">
      <c r="A473" s="13" t="s">
        <v>236</v>
      </c>
      <c r="B473" s="13" t="n">
        <v>76</v>
      </c>
      <c r="C473" s="17" t="n">
        <f aca="false">B473/100*Notas!$B$3</f>
        <v>72.2</v>
      </c>
      <c r="D473" s="17" t="n">
        <f aca="false">46.56/95*Notas!$B$3</f>
        <v>46.56</v>
      </c>
      <c r="E473" s="17" t="n">
        <f aca="false">36.54/95*Notas!$B$3</f>
        <v>36.54</v>
      </c>
      <c r="F473" s="13" t="n">
        <v>1</v>
      </c>
      <c r="G473" s="17" t="n">
        <f aca="false">46.56/95*Notas!$B$3</f>
        <v>46.56</v>
      </c>
      <c r="H473" s="17" t="n">
        <f aca="false">36.54/95*Notas!$B$3</f>
        <v>36.54</v>
      </c>
      <c r="I473" s="17" t="n">
        <f aca="false">156.6/95*Notas!$B$3</f>
        <v>156.6</v>
      </c>
      <c r="J473" s="17" t="n">
        <f aca="false">156.6/95*Notas!$B$3</f>
        <v>156.6</v>
      </c>
    </row>
    <row r="474" customFormat="false" ht="15" hidden="false" customHeight="false" outlineLevel="0" collapsed="false">
      <c r="A474" s="13" t="s">
        <v>236</v>
      </c>
      <c r="B474" s="13" t="n">
        <v>77</v>
      </c>
      <c r="C474" s="17" t="n">
        <f aca="false">B474/100*Notas!$B$3</f>
        <v>73.15</v>
      </c>
      <c r="D474" s="17" t="n">
        <f aca="false">47.56/95*Notas!$B$3</f>
        <v>47.56</v>
      </c>
      <c r="E474" s="17" t="n">
        <f aca="false">36.35/95*Notas!$B$3</f>
        <v>36.35</v>
      </c>
      <c r="F474" s="13" t="n">
        <v>1</v>
      </c>
      <c r="G474" s="17" t="n">
        <f aca="false">47.56/95*Notas!$B$3</f>
        <v>47.56</v>
      </c>
      <c r="H474" s="17" t="n">
        <f aca="false">36.35/95*Notas!$B$3</f>
        <v>36.35</v>
      </c>
      <c r="I474" s="17" t="n">
        <f aca="false">157.52/95*Notas!$B$3</f>
        <v>157.52</v>
      </c>
      <c r="J474" s="17" t="n">
        <f aca="false">157.52/95*Notas!$B$3</f>
        <v>157.52</v>
      </c>
    </row>
    <row r="475" customFormat="false" ht="15" hidden="false" customHeight="false" outlineLevel="0" collapsed="false">
      <c r="A475" s="13" t="s">
        <v>236</v>
      </c>
      <c r="B475" s="13" t="n">
        <v>78</v>
      </c>
      <c r="C475" s="17" t="n">
        <f aca="false">B475/100*Notas!$B$3</f>
        <v>74.1</v>
      </c>
      <c r="D475" s="17" t="n">
        <f aca="false">48.5/95*Notas!$B$3</f>
        <v>48.5</v>
      </c>
      <c r="E475" s="17" t="n">
        <f aca="false">36.15/95*Notas!$B$3</f>
        <v>36.15</v>
      </c>
      <c r="F475" s="13" t="n">
        <v>1</v>
      </c>
      <c r="G475" s="17" t="n">
        <f aca="false">48.5/95*Notas!$B$3</f>
        <v>48.5</v>
      </c>
      <c r="H475" s="17" t="n">
        <f aca="false">36.15/95*Notas!$B$3</f>
        <v>36.15</v>
      </c>
      <c r="I475" s="17" t="n">
        <f aca="false">158.43/95*Notas!$B$3</f>
        <v>158.43</v>
      </c>
      <c r="J475" s="17" t="n">
        <f aca="false">158.43/95*Notas!$B$3</f>
        <v>158.43</v>
      </c>
    </row>
    <row r="476" customFormat="false" ht="15" hidden="false" customHeight="false" outlineLevel="0" collapsed="false">
      <c r="A476" s="13" t="s">
        <v>236</v>
      </c>
      <c r="B476" s="13" t="n">
        <v>79</v>
      </c>
      <c r="C476" s="17" t="n">
        <f aca="false">B476/100*Notas!$B$3</f>
        <v>75.05</v>
      </c>
      <c r="D476" s="17" t="n">
        <f aca="false">49.36/95*Notas!$B$3</f>
        <v>49.36</v>
      </c>
      <c r="E476" s="17" t="n">
        <f aca="false">35.95/95*Notas!$B$3</f>
        <v>35.95</v>
      </c>
      <c r="F476" s="13" t="n">
        <v>1</v>
      </c>
      <c r="G476" s="17" t="n">
        <f aca="false">49.36/95*Notas!$B$3</f>
        <v>49.36</v>
      </c>
      <c r="H476" s="17" t="n">
        <f aca="false">35.95/95*Notas!$B$3</f>
        <v>35.95</v>
      </c>
      <c r="I476" s="17" t="n">
        <f aca="false">159.12/95*Notas!$B$3</f>
        <v>159.12</v>
      </c>
      <c r="J476" s="17" t="n">
        <f aca="false">159.12/95*Notas!$B$3</f>
        <v>159.12</v>
      </c>
    </row>
    <row r="477" customFormat="false" ht="15" hidden="false" customHeight="false" outlineLevel="0" collapsed="false">
      <c r="A477" s="13" t="s">
        <v>236</v>
      </c>
      <c r="B477" s="13" t="n">
        <v>80</v>
      </c>
      <c r="C477" s="17" t="n">
        <f aca="false">B477/100*Notas!$B$3</f>
        <v>76</v>
      </c>
      <c r="D477" s="17" t="n">
        <f aca="false">50.2/95*Notas!$B$3</f>
        <v>50.2</v>
      </c>
      <c r="E477" s="17" t="n">
        <f aca="false">35.74/95*Notas!$B$3</f>
        <v>35.74</v>
      </c>
      <c r="F477" s="13" t="n">
        <v>1</v>
      </c>
      <c r="G477" s="17" t="n">
        <f aca="false">50.2/95*Notas!$B$3</f>
        <v>50.2</v>
      </c>
      <c r="H477" s="17" t="n">
        <f aca="false">35.74/95*Notas!$B$3</f>
        <v>35.74</v>
      </c>
      <c r="I477" s="17" t="n">
        <f aca="false">159.17/95*Notas!$B$3</f>
        <v>159.17</v>
      </c>
      <c r="J477" s="17" t="n">
        <f aca="false">159.17/95*Notas!$B$3</f>
        <v>159.17</v>
      </c>
    </row>
    <row r="478" customFormat="false" ht="15" hidden="false" customHeight="false" outlineLevel="0" collapsed="false">
      <c r="A478" s="13" t="s">
        <v>236</v>
      </c>
      <c r="B478" s="13" t="n">
        <v>81</v>
      </c>
      <c r="C478" s="17" t="n">
        <f aca="false">B478/100*Notas!$B$3</f>
        <v>76.95</v>
      </c>
      <c r="D478" s="17" t="n">
        <f aca="false">50.83/95*Notas!$B$3</f>
        <v>50.83</v>
      </c>
      <c r="E478" s="17" t="n">
        <f aca="false">35.56/95*Notas!$B$3</f>
        <v>35.56</v>
      </c>
      <c r="F478" s="13" t="n">
        <v>1</v>
      </c>
      <c r="G478" s="17" t="n">
        <f aca="false">50.83/95*Notas!$B$3</f>
        <v>50.83</v>
      </c>
      <c r="H478" s="17" t="n">
        <f aca="false">35.56/95*Notas!$B$3</f>
        <v>35.56</v>
      </c>
      <c r="I478" s="17" t="n">
        <f aca="false">159.21/95*Notas!$B$3</f>
        <v>159.21</v>
      </c>
      <c r="J478" s="17" t="n">
        <f aca="false">159.21/95*Notas!$B$3</f>
        <v>159.21</v>
      </c>
    </row>
    <row r="479" customFormat="false" ht="15" hidden="false" customHeight="false" outlineLevel="0" collapsed="false">
      <c r="A479" s="13" t="s">
        <v>236</v>
      </c>
      <c r="B479" s="13" t="n">
        <v>82</v>
      </c>
      <c r="C479" s="17" t="n">
        <f aca="false">B479/100*Notas!$B$3</f>
        <v>77.9</v>
      </c>
      <c r="D479" s="17" t="n">
        <f aca="false">51.26/95*Notas!$B$3</f>
        <v>51.26</v>
      </c>
      <c r="E479" s="17" t="n">
        <f aca="false">35.28/95*Notas!$B$3</f>
        <v>35.28</v>
      </c>
      <c r="F479" s="13" t="n">
        <v>1</v>
      </c>
      <c r="G479" s="17" t="n">
        <f aca="false">51.26/95*Notas!$B$3</f>
        <v>51.26</v>
      </c>
      <c r="H479" s="17" t="n">
        <f aca="false">35.28/95*Notas!$B$3</f>
        <v>35.28</v>
      </c>
      <c r="I479" s="17" t="n">
        <f aca="false">158.38/95*Notas!$B$3</f>
        <v>158.38</v>
      </c>
      <c r="J479" s="17" t="n">
        <f aca="false">158.38/95*Notas!$B$3</f>
        <v>158.38</v>
      </c>
    </row>
    <row r="480" customFormat="false" ht="15" hidden="false" customHeight="false" outlineLevel="0" collapsed="false">
      <c r="A480" s="13" t="s">
        <v>236</v>
      </c>
      <c r="B480" s="13" t="n">
        <v>83</v>
      </c>
      <c r="C480" s="17" t="n">
        <f aca="false">B480/100*Notas!$B$3</f>
        <v>78.85</v>
      </c>
      <c r="D480" s="17" t="n">
        <f aca="false">50.63/95*Notas!$B$3</f>
        <v>50.63</v>
      </c>
      <c r="E480" s="17" t="n">
        <f aca="false">35.09/95*Notas!$B$3</f>
        <v>35.09</v>
      </c>
      <c r="F480" s="13" t="n">
        <v>1</v>
      </c>
      <c r="G480" s="17" t="n">
        <f aca="false">50.63/95*Notas!$B$3</f>
        <v>50.63</v>
      </c>
      <c r="H480" s="17" t="n">
        <f aca="false">35.09/95*Notas!$B$3</f>
        <v>35.09</v>
      </c>
      <c r="I480" s="17" t="n">
        <f aca="false">155.91/95*Notas!$B$3</f>
        <v>155.91</v>
      </c>
      <c r="J480" s="17" t="n">
        <f aca="false">155.91/95*Notas!$B$3</f>
        <v>155.91</v>
      </c>
    </row>
    <row r="481" customFormat="false" ht="15" hidden="false" customHeight="false" outlineLevel="0" collapsed="false">
      <c r="A481" s="13" t="s">
        <v>236</v>
      </c>
      <c r="B481" s="13" t="n">
        <v>84</v>
      </c>
      <c r="C481" s="17" t="n">
        <f aca="false">B481/100*Notas!$B$3</f>
        <v>79.8</v>
      </c>
      <c r="D481" s="17" t="n">
        <f aca="false">49.54/95*Notas!$B$3</f>
        <v>49.54</v>
      </c>
      <c r="E481" s="17" t="n">
        <f aca="false">34.94/95*Notas!$B$3</f>
        <v>34.94</v>
      </c>
      <c r="F481" s="13" t="n">
        <v>1</v>
      </c>
      <c r="G481" s="17" t="n">
        <f aca="false">49.54/95*Notas!$B$3</f>
        <v>49.54</v>
      </c>
      <c r="H481" s="17" t="n">
        <f aca="false">34.94/95*Notas!$B$3</f>
        <v>34.94</v>
      </c>
      <c r="I481" s="17" t="n">
        <f aca="false">153.9/95*Notas!$B$3</f>
        <v>153.9</v>
      </c>
      <c r="J481" s="17" t="n">
        <f aca="false">153.9/95*Notas!$B$3</f>
        <v>153.9</v>
      </c>
    </row>
    <row r="482" customFormat="false" ht="15" hidden="false" customHeight="false" outlineLevel="0" collapsed="false">
      <c r="A482" s="13" t="s">
        <v>236</v>
      </c>
      <c r="B482" s="13" t="n">
        <v>85</v>
      </c>
      <c r="C482" s="17" t="n">
        <f aca="false">B482/100*Notas!$B$3</f>
        <v>80.75</v>
      </c>
      <c r="D482" s="17" t="n">
        <f aca="false">48.41/95*Notas!$B$3</f>
        <v>48.41</v>
      </c>
      <c r="E482" s="17" t="n">
        <f aca="false">34.67/95*Notas!$B$3</f>
        <v>34.67</v>
      </c>
      <c r="F482" s="13" t="n">
        <v>1</v>
      </c>
      <c r="G482" s="17" t="n">
        <f aca="false">48.41/95*Notas!$B$3</f>
        <v>48.41</v>
      </c>
      <c r="H482" s="17" t="n">
        <f aca="false">34.67/95*Notas!$B$3</f>
        <v>34.67</v>
      </c>
      <c r="I482" s="17" t="n">
        <f aca="false">150.44/95*Notas!$B$3</f>
        <v>150.44</v>
      </c>
      <c r="J482" s="17" t="n">
        <f aca="false">150.44/95*Notas!$B$3</f>
        <v>150.44</v>
      </c>
    </row>
    <row r="483" customFormat="false" ht="15" hidden="false" customHeight="false" outlineLevel="0" collapsed="false">
      <c r="A483" s="13" t="s">
        <v>236</v>
      </c>
      <c r="B483" s="13" t="n">
        <v>86</v>
      </c>
      <c r="C483" s="17" t="n">
        <f aca="false">B483/100*Notas!$B$3</f>
        <v>81.7</v>
      </c>
      <c r="D483" s="17" t="n">
        <f aca="false">47.21/95*Notas!$B$3</f>
        <v>47.21</v>
      </c>
      <c r="E483" s="17" t="n">
        <f aca="false">34.56/95*Notas!$B$3</f>
        <v>34.56</v>
      </c>
      <c r="F483" s="13" t="n">
        <v>1</v>
      </c>
      <c r="G483" s="17" t="n">
        <f aca="false">47.21/95*Notas!$B$3</f>
        <v>47.21</v>
      </c>
      <c r="H483" s="17" t="n">
        <f aca="false">34.56/95*Notas!$B$3</f>
        <v>34.56</v>
      </c>
      <c r="I483" s="17" t="n">
        <f aca="false">147.73/95*Notas!$B$3</f>
        <v>147.73</v>
      </c>
      <c r="J483" s="17" t="n">
        <f aca="false">147.73/95*Notas!$B$3</f>
        <v>147.73</v>
      </c>
    </row>
    <row r="484" customFormat="false" ht="15" hidden="false" customHeight="false" outlineLevel="0" collapsed="false">
      <c r="A484" s="13" t="s">
        <v>236</v>
      </c>
      <c r="B484" s="13" t="n">
        <v>87</v>
      </c>
      <c r="C484" s="17" t="n">
        <f aca="false">B484/100*Notas!$B$3</f>
        <v>82.65</v>
      </c>
      <c r="D484" s="17" t="n">
        <f aca="false">45.77/95*Notas!$B$3</f>
        <v>45.77</v>
      </c>
      <c r="E484" s="17" t="n">
        <f aca="false">34.38/95*Notas!$B$3</f>
        <v>34.38</v>
      </c>
      <c r="F484" s="13" t="n">
        <v>1</v>
      </c>
      <c r="G484" s="17" t="n">
        <f aca="false">45.77/95*Notas!$B$3</f>
        <v>45.77</v>
      </c>
      <c r="H484" s="17" t="n">
        <f aca="false">34.38/95*Notas!$B$3</f>
        <v>34.38</v>
      </c>
      <c r="I484" s="17" t="n">
        <f aca="false">147.22/95*Notas!$B$3</f>
        <v>147.22</v>
      </c>
      <c r="J484" s="17" t="n">
        <f aca="false">147.22/95*Notas!$B$3</f>
        <v>147.22</v>
      </c>
    </row>
    <row r="485" customFormat="false" ht="15" hidden="false" customHeight="false" outlineLevel="0" collapsed="false">
      <c r="A485" s="13" t="s">
        <v>236</v>
      </c>
      <c r="B485" s="13" t="n">
        <v>88</v>
      </c>
      <c r="C485" s="17" t="n">
        <f aca="false">B485/100*Notas!$B$3</f>
        <v>83.6</v>
      </c>
      <c r="D485" s="17" t="n">
        <f aca="false">44.32/95*Notas!$B$3</f>
        <v>44.32</v>
      </c>
      <c r="E485" s="17" t="n">
        <f aca="false">33.92/95*Notas!$B$3</f>
        <v>33.92</v>
      </c>
      <c r="F485" s="13" t="n">
        <v>1</v>
      </c>
      <c r="G485" s="17" t="n">
        <f aca="false">44.32/95*Notas!$B$3</f>
        <v>44.32</v>
      </c>
      <c r="H485" s="17" t="n">
        <f aca="false">33.92/95*Notas!$B$3</f>
        <v>33.92</v>
      </c>
      <c r="I485" s="17" t="n">
        <f aca="false">145.34/95*Notas!$B$3</f>
        <v>145.34</v>
      </c>
      <c r="J485" s="17" t="n">
        <f aca="false">145.34/95*Notas!$B$3</f>
        <v>145.34</v>
      </c>
    </row>
    <row r="486" customFormat="false" ht="15" hidden="false" customHeight="false" outlineLevel="0" collapsed="false">
      <c r="A486" s="13" t="s">
        <v>236</v>
      </c>
      <c r="B486" s="13" t="n">
        <v>89</v>
      </c>
      <c r="C486" s="17" t="n">
        <f aca="false">B486/100*Notas!$B$3</f>
        <v>84.55</v>
      </c>
      <c r="D486" s="17" t="n">
        <f aca="false">42.79/95*Notas!$B$3</f>
        <v>42.79</v>
      </c>
      <c r="E486" s="17" t="n">
        <f aca="false">33.19/95*Notas!$B$3</f>
        <v>33.19</v>
      </c>
      <c r="F486" s="13" t="n">
        <v>1</v>
      </c>
      <c r="G486" s="17" t="n">
        <f aca="false">42.79/95*Notas!$B$3</f>
        <v>42.79</v>
      </c>
      <c r="H486" s="17" t="n">
        <f aca="false">33.19/95*Notas!$B$3</f>
        <v>33.19</v>
      </c>
      <c r="I486" s="17" t="n">
        <f aca="false">146.78/95*Notas!$B$3</f>
        <v>146.78</v>
      </c>
      <c r="J486" s="17" t="n">
        <f aca="false">146.78/95*Notas!$B$3</f>
        <v>146.78</v>
      </c>
    </row>
    <row r="487" customFormat="false" ht="15" hidden="false" customHeight="false" outlineLevel="0" collapsed="false">
      <c r="A487" s="13" t="s">
        <v>236</v>
      </c>
      <c r="B487" s="13" t="n">
        <v>90</v>
      </c>
      <c r="C487" s="17" t="n">
        <f aca="false">B487/100*Notas!$B$3</f>
        <v>85.5</v>
      </c>
      <c r="D487" s="17" t="n">
        <f aca="false">41.13/95*Notas!$B$3</f>
        <v>41.13</v>
      </c>
      <c r="E487" s="17" t="n">
        <f aca="false">32.04/95*Notas!$B$3</f>
        <v>32.04</v>
      </c>
      <c r="F487" s="13" t="n">
        <v>1</v>
      </c>
      <c r="G487" s="17" t="n">
        <f aca="false">41.13/95*Notas!$B$3</f>
        <v>41.13</v>
      </c>
      <c r="H487" s="17" t="n">
        <f aca="false">32.04/95*Notas!$B$3</f>
        <v>32.04</v>
      </c>
      <c r="I487" s="17" t="n">
        <f aca="false">140.15/95*Notas!$B$3</f>
        <v>140.15</v>
      </c>
      <c r="J487" s="17" t="n">
        <f aca="false">140.15/95*Notas!$B$3</f>
        <v>140.15</v>
      </c>
    </row>
    <row r="488" customFormat="false" ht="15" hidden="false" customHeight="false" outlineLevel="0" collapsed="false">
      <c r="A488" s="13" t="s">
        <v>236</v>
      </c>
      <c r="B488" s="13" t="n">
        <v>91</v>
      </c>
      <c r="C488" s="17" t="n">
        <f aca="false">B488/100*Notas!$B$3</f>
        <v>86.45</v>
      </c>
      <c r="D488" s="17" t="n">
        <f aca="false">39.44/95*Notas!$B$3</f>
        <v>39.44</v>
      </c>
      <c r="E488" s="17" t="n">
        <f aca="false">30.97/95*Notas!$B$3</f>
        <v>30.97</v>
      </c>
      <c r="F488" s="13" t="n">
        <v>2</v>
      </c>
      <c r="G488" s="17" t="n">
        <f aca="false">39.44/95*Notas!$B$3</f>
        <v>39.44</v>
      </c>
      <c r="H488" s="17" t="n">
        <f aca="false">30.97/95*Notas!$B$3</f>
        <v>30.97</v>
      </c>
      <c r="I488" s="17" t="n">
        <f aca="false">132.59/95*Notas!$B$3</f>
        <v>132.59</v>
      </c>
      <c r="J488" s="17" t="n">
        <f aca="false">153.63/95*Notas!$B$3</f>
        <v>153.63</v>
      </c>
    </row>
    <row r="489" customFormat="false" ht="15" hidden="false" customHeight="false" outlineLevel="0" collapsed="false">
      <c r="A489" s="13" t="s">
        <v>236</v>
      </c>
      <c r="B489" s="13" t="n">
        <v>92</v>
      </c>
      <c r="C489" s="17" t="n">
        <f aca="false">B489/100*Notas!$B$3</f>
        <v>87.4</v>
      </c>
      <c r="D489" s="17" t="n">
        <f aca="false">37.63/95*Notas!$B$3</f>
        <v>37.63</v>
      </c>
      <c r="E489" s="17" t="n">
        <f aca="false">30.9/95*Notas!$B$3</f>
        <v>30.9</v>
      </c>
      <c r="F489" s="13" t="n">
        <v>2</v>
      </c>
      <c r="G489" s="17" t="n">
        <f aca="false">37.63/95*Notas!$B$3</f>
        <v>37.63</v>
      </c>
      <c r="H489" s="17" t="n">
        <f aca="false">30.9/95*Notas!$B$3</f>
        <v>30.9</v>
      </c>
      <c r="I489" s="17" t="n">
        <f aca="false">127.42/95*Notas!$B$3</f>
        <v>127.42</v>
      </c>
      <c r="J489" s="17" t="n">
        <f aca="false">134.71/95*Notas!$B$3</f>
        <v>134.71</v>
      </c>
    </row>
    <row r="490" customFormat="false" ht="15" hidden="false" customHeight="false" outlineLevel="0" collapsed="false">
      <c r="A490" s="13" t="s">
        <v>236</v>
      </c>
      <c r="B490" s="13" t="n">
        <v>93</v>
      </c>
      <c r="C490" s="17" t="n">
        <f aca="false">B490/100*Notas!$B$3</f>
        <v>88.35</v>
      </c>
      <c r="D490" s="17" t="n">
        <f aca="false">35.67/95*Notas!$B$3</f>
        <v>35.67</v>
      </c>
      <c r="E490" s="17" t="n">
        <f aca="false">30.8/95*Notas!$B$3</f>
        <v>30.8</v>
      </c>
      <c r="F490" s="13" t="n">
        <v>1</v>
      </c>
      <c r="G490" s="17" t="n">
        <f aca="false">35.67/95*Notas!$B$3</f>
        <v>35.67</v>
      </c>
      <c r="H490" s="17" t="n">
        <f aca="false">30.8/95*Notas!$B$3</f>
        <v>30.8</v>
      </c>
      <c r="I490" s="17" t="n">
        <f aca="false">130.6/95*Notas!$B$3</f>
        <v>130.6</v>
      </c>
      <c r="J490" s="17" t="n">
        <f aca="false">130.6/95*Notas!$B$3</f>
        <v>130.6</v>
      </c>
    </row>
    <row r="491" customFormat="false" ht="15" hidden="false" customHeight="false" outlineLevel="0" collapsed="false">
      <c r="A491" s="13" t="s">
        <v>236</v>
      </c>
      <c r="B491" s="13" t="n">
        <v>94</v>
      </c>
      <c r="C491" s="17" t="n">
        <f aca="false">B491/100*Notas!$B$3</f>
        <v>89.3</v>
      </c>
      <c r="D491" s="17" t="n">
        <f aca="false">33.82/95*Notas!$B$3</f>
        <v>33.82</v>
      </c>
      <c r="E491" s="17" t="n">
        <f aca="false">29.63/95*Notas!$B$3</f>
        <v>29.63</v>
      </c>
      <c r="F491" s="13" t="n">
        <v>2</v>
      </c>
      <c r="G491" s="17" t="n">
        <f aca="false">20.27/95*Notas!$B$3</f>
        <v>20.27</v>
      </c>
      <c r="H491" s="17" t="n">
        <f aca="false">29.63/95*Notas!$B$3</f>
        <v>29.63</v>
      </c>
      <c r="I491" s="17" t="n">
        <f aca="false">90/95*Notas!$B$3</f>
        <v>90</v>
      </c>
      <c r="J491" s="17" t="n">
        <f aca="false">120.96/95*Notas!$B$3</f>
        <v>120.96</v>
      </c>
    </row>
    <row r="492" customFormat="false" ht="15" hidden="false" customHeight="false" outlineLevel="0" collapsed="false">
      <c r="A492" s="13" t="s">
        <v>236</v>
      </c>
      <c r="B492" s="13" t="n">
        <v>95</v>
      </c>
      <c r="C492" s="17" t="n">
        <f aca="false">B492/100*Notas!$B$3</f>
        <v>90.25</v>
      </c>
      <c r="D492" s="17" t="n">
        <f aca="false">18.74/95*Notas!$B$3</f>
        <v>18.74</v>
      </c>
      <c r="E492" s="17" t="n">
        <f aca="false">25.83/95*Notas!$B$3</f>
        <v>25.83</v>
      </c>
      <c r="F492" s="13" t="n">
        <v>1</v>
      </c>
      <c r="G492" s="17" t="n">
        <f aca="false">18.74/95*Notas!$B$3</f>
        <v>18.74</v>
      </c>
      <c r="H492" s="17" t="n">
        <f aca="false">25.83/95*Notas!$B$3</f>
        <v>25.83</v>
      </c>
      <c r="I492" s="17" t="n">
        <f aca="false">81.32/95*Notas!$B$3</f>
        <v>81.32</v>
      </c>
      <c r="J492" s="17" t="n">
        <f aca="false">81.32/95*Notas!$B$3</f>
        <v>81.32</v>
      </c>
    </row>
    <row r="493" customFormat="false" ht="15" hidden="false" customHeight="false" outlineLevel="0" collapsed="false">
      <c r="A493" s="13" t="s">
        <v>236</v>
      </c>
      <c r="B493" s="13" t="n">
        <v>96</v>
      </c>
      <c r="C493" s="17" t="n">
        <f aca="false">B493/100*Notas!$B$3</f>
        <v>91.2</v>
      </c>
      <c r="D493" s="17" t="n">
        <f aca="false">17.04/95*Notas!$B$3</f>
        <v>17.04</v>
      </c>
      <c r="E493" s="17" t="n">
        <f aca="false">22.7/95*Notas!$B$3</f>
        <v>22.7</v>
      </c>
      <c r="F493" s="13" t="n">
        <v>1</v>
      </c>
      <c r="G493" s="17" t="n">
        <f aca="false">17.04/95*Notas!$B$3</f>
        <v>17.04</v>
      </c>
      <c r="H493" s="17" t="n">
        <f aca="false">22.7/95*Notas!$B$3</f>
        <v>22.7</v>
      </c>
      <c r="I493" s="17" t="n">
        <f aca="false">63.14/95*Notas!$B$3</f>
        <v>63.14</v>
      </c>
      <c r="J493" s="17" t="n">
        <f aca="false">63.14/95*Notas!$B$3</f>
        <v>63.14</v>
      </c>
    </row>
    <row r="494" customFormat="false" ht="15" hidden="false" customHeight="false" outlineLevel="0" collapsed="false">
      <c r="A494" s="13" t="s">
        <v>236</v>
      </c>
      <c r="B494" s="13" t="n">
        <v>97</v>
      </c>
      <c r="C494" s="17" t="n">
        <f aca="false">B494/100*Notas!$B$3</f>
        <v>92.15</v>
      </c>
      <c r="D494" s="17" t="n">
        <f aca="false">14.69/95*Notas!$B$3</f>
        <v>14.69</v>
      </c>
      <c r="E494" s="17" t="n">
        <f aca="false">19.78/95*Notas!$B$3</f>
        <v>19.78</v>
      </c>
      <c r="F494" s="13" t="n">
        <v>1</v>
      </c>
      <c r="G494" s="17" t="n">
        <f aca="false">14.69/95*Notas!$B$3</f>
        <v>14.69</v>
      </c>
      <c r="H494" s="17" t="n">
        <f aca="false">19.78/95*Notas!$B$3</f>
        <v>19.78</v>
      </c>
      <c r="I494" s="17" t="n">
        <f aca="false">54.39/95*Notas!$B$3</f>
        <v>54.39</v>
      </c>
      <c r="J494" s="17" t="n">
        <f aca="false">54.39/95*Notas!$B$3</f>
        <v>54.39</v>
      </c>
    </row>
    <row r="495" customFormat="false" ht="15" hidden="false" customHeight="false" outlineLevel="0" collapsed="false">
      <c r="A495" s="13" t="s">
        <v>236</v>
      </c>
      <c r="B495" s="13" t="n">
        <v>98</v>
      </c>
      <c r="C495" s="17" t="n">
        <f aca="false">B495/100*Notas!$B$3</f>
        <v>93.1</v>
      </c>
      <c r="D495" s="17" t="n">
        <f aca="false">11.79/95*Notas!$B$3</f>
        <v>11.79</v>
      </c>
      <c r="E495" s="17" t="n">
        <f aca="false">16.46/95*Notas!$B$3</f>
        <v>16.46</v>
      </c>
      <c r="F495" s="13" t="n">
        <v>1</v>
      </c>
      <c r="G495" s="17" t="n">
        <f aca="false">11.79/95*Notas!$B$3</f>
        <v>11.79</v>
      </c>
      <c r="H495" s="17" t="n">
        <f aca="false">16.46/95*Notas!$B$3</f>
        <v>16.46</v>
      </c>
      <c r="I495" s="17" t="n">
        <f aca="false">44.55/95*Notas!$B$3</f>
        <v>44.55</v>
      </c>
      <c r="J495" s="17" t="n">
        <f aca="false">44.55/95*Notas!$B$3</f>
        <v>44.55</v>
      </c>
    </row>
    <row r="496" customFormat="false" ht="15" hidden="false" customHeight="false" outlineLevel="0" collapsed="false">
      <c r="A496" s="13" t="s">
        <v>236</v>
      </c>
      <c r="B496" s="13" t="n">
        <v>99</v>
      </c>
      <c r="C496" s="17" t="n">
        <f aca="false">B496/100*Notas!$B$3</f>
        <v>94.05</v>
      </c>
      <c r="D496" s="17" t="n">
        <f aca="false">7.39/95*Notas!$B$3</f>
        <v>7.39</v>
      </c>
      <c r="E496" s="17" t="n">
        <f aca="false">12.66/95*Notas!$B$3</f>
        <v>12.66</v>
      </c>
      <c r="F496" s="13" t="n">
        <v>1</v>
      </c>
      <c r="G496" s="17" t="n">
        <f aca="false">7.39/95*Notas!$B$3</f>
        <v>7.39</v>
      </c>
      <c r="H496" s="17" t="n">
        <f aca="false">12.66/95*Notas!$B$3</f>
        <v>12.66</v>
      </c>
      <c r="I496" s="17" t="n">
        <f aca="false">30.98/95*Notas!$B$3</f>
        <v>30.98</v>
      </c>
      <c r="J496" s="17" t="n">
        <f aca="false">30.98/95*Notas!$B$3</f>
        <v>30.98</v>
      </c>
    </row>
    <row r="497" customFormat="false" ht="15" hidden="false" customHeight="false" outlineLevel="0" collapsed="false">
      <c r="A497" s="13" t="s">
        <v>237</v>
      </c>
      <c r="B497" s="13" t="n">
        <v>1</v>
      </c>
      <c r="C497" s="17" t="n">
        <f aca="false">B497/100*Notas!$B$3</f>
        <v>0.95</v>
      </c>
      <c r="D497" s="17" t="n">
        <f aca="false">41.26/95*Notas!$B$3</f>
        <v>41.26</v>
      </c>
      <c r="E497" s="17" t="n">
        <f aca="false">20.33/95*Notas!$B$3</f>
        <v>20.33</v>
      </c>
      <c r="F497" s="13" t="n">
        <v>3</v>
      </c>
      <c r="G497" s="17" t="n">
        <f aca="false">0.06/95*Notas!$B$3</f>
        <v>0.06</v>
      </c>
      <c r="H497" s="17" t="n">
        <f aca="false">0.05/95*Notas!$B$3</f>
        <v>0.05</v>
      </c>
      <c r="I497" s="17" t="n">
        <f aca="false">0.17/95*Notas!$B$3</f>
        <v>0.17</v>
      </c>
      <c r="J497" s="17" t="n">
        <f aca="false">124.35/95*Notas!$B$3</f>
        <v>124.35</v>
      </c>
    </row>
    <row r="498" customFormat="false" ht="15" hidden="false" customHeight="false" outlineLevel="0" collapsed="false">
      <c r="A498" s="13" t="s">
        <v>237</v>
      </c>
      <c r="B498" s="13" t="n">
        <v>2</v>
      </c>
      <c r="C498" s="17" t="n">
        <f aca="false">B498/100*Notas!$B$3</f>
        <v>1.9</v>
      </c>
      <c r="D498" s="17" t="n">
        <f aca="false">41.14/95*Notas!$B$3</f>
        <v>41.14</v>
      </c>
      <c r="E498" s="17" t="n">
        <f aca="false">20.31/95*Notas!$B$3</f>
        <v>20.31</v>
      </c>
      <c r="F498" s="13" t="n">
        <v>2</v>
      </c>
      <c r="G498" s="17" t="n">
        <f aca="false">18.51/95*Notas!$B$3</f>
        <v>18.51</v>
      </c>
      <c r="H498" s="17" t="n">
        <f aca="false">17.75/95*Notas!$B$3</f>
        <v>17.75</v>
      </c>
      <c r="I498" s="17" t="n">
        <f aca="false">58.62/95*Notas!$B$3</f>
        <v>58.62</v>
      </c>
      <c r="J498" s="17" t="n">
        <f aca="false">114.97/95*Notas!$B$3</f>
        <v>114.97</v>
      </c>
    </row>
    <row r="499" customFormat="false" ht="15" hidden="false" customHeight="false" outlineLevel="0" collapsed="false">
      <c r="A499" s="13" t="s">
        <v>237</v>
      </c>
      <c r="B499" s="13" t="n">
        <v>3</v>
      </c>
      <c r="C499" s="17" t="n">
        <f aca="false">B499/100*Notas!$B$3</f>
        <v>2.85</v>
      </c>
      <c r="D499" s="17" t="n">
        <f aca="false">41.03/95*Notas!$B$3</f>
        <v>41.03</v>
      </c>
      <c r="E499" s="17" t="n">
        <f aca="false">20.27/95*Notas!$B$3</f>
        <v>20.27</v>
      </c>
      <c r="F499" s="13" t="n">
        <v>2</v>
      </c>
      <c r="G499" s="17" t="n">
        <f aca="false">18.47/95*Notas!$B$3</f>
        <v>18.47</v>
      </c>
      <c r="H499" s="17" t="n">
        <f aca="false">17.71/95*Notas!$B$3</f>
        <v>17.71</v>
      </c>
      <c r="I499" s="17" t="n">
        <f aca="false">58.39/95*Notas!$B$3</f>
        <v>58.39</v>
      </c>
      <c r="J499" s="17" t="n">
        <f aca="false">114.49/95*Notas!$B$3</f>
        <v>114.49</v>
      </c>
    </row>
    <row r="500" customFormat="false" ht="15" hidden="false" customHeight="false" outlineLevel="0" collapsed="false">
      <c r="A500" s="13" t="s">
        <v>237</v>
      </c>
      <c r="B500" s="13" t="n">
        <v>4</v>
      </c>
      <c r="C500" s="17" t="n">
        <f aca="false">B500/100*Notas!$B$3</f>
        <v>3.8</v>
      </c>
      <c r="D500" s="17" t="n">
        <f aca="false">40.86/95*Notas!$B$3</f>
        <v>40.86</v>
      </c>
      <c r="E500" s="17" t="n">
        <f aca="false">20.2/95*Notas!$B$3</f>
        <v>20.2</v>
      </c>
      <c r="F500" s="13" t="n">
        <v>2</v>
      </c>
      <c r="G500" s="17" t="n">
        <f aca="false">18.37/95*Notas!$B$3</f>
        <v>18.37</v>
      </c>
      <c r="H500" s="17" t="n">
        <f aca="false">17.64/95*Notas!$B$3</f>
        <v>17.64</v>
      </c>
      <c r="I500" s="17" t="n">
        <f aca="false">58.08/95*Notas!$B$3</f>
        <v>58.08</v>
      </c>
      <c r="J500" s="17" t="n">
        <f aca="false">113.95/95*Notas!$B$3</f>
        <v>113.95</v>
      </c>
    </row>
    <row r="501" customFormat="false" ht="15" hidden="false" customHeight="false" outlineLevel="0" collapsed="false">
      <c r="A501" s="13" t="s">
        <v>237</v>
      </c>
      <c r="B501" s="13" t="n">
        <v>5</v>
      </c>
      <c r="C501" s="17" t="n">
        <f aca="false">B501/100*Notas!$B$3</f>
        <v>4.75</v>
      </c>
      <c r="D501" s="17" t="n">
        <f aca="false">40.69/95*Notas!$B$3</f>
        <v>40.69</v>
      </c>
      <c r="E501" s="17" t="n">
        <f aca="false">20.14/95*Notas!$B$3</f>
        <v>20.14</v>
      </c>
      <c r="F501" s="13" t="n">
        <v>2</v>
      </c>
      <c r="G501" s="17" t="n">
        <f aca="false">18.28/95*Notas!$B$3</f>
        <v>18.28</v>
      </c>
      <c r="H501" s="17" t="n">
        <f aca="false">17.56/95*Notas!$B$3</f>
        <v>17.56</v>
      </c>
      <c r="I501" s="17" t="n">
        <f aca="false">57.75/95*Notas!$B$3</f>
        <v>57.75</v>
      </c>
      <c r="J501" s="17" t="n">
        <f aca="false">113.39/95*Notas!$B$3</f>
        <v>113.39</v>
      </c>
    </row>
    <row r="502" customFormat="false" ht="15" hidden="false" customHeight="false" outlineLevel="0" collapsed="false">
      <c r="A502" s="13" t="s">
        <v>237</v>
      </c>
      <c r="B502" s="13" t="n">
        <v>6</v>
      </c>
      <c r="C502" s="17" t="n">
        <f aca="false">B502/100*Notas!$B$3</f>
        <v>5.7</v>
      </c>
      <c r="D502" s="17" t="n">
        <f aca="false">40.04/95*Notas!$B$3</f>
        <v>40.04</v>
      </c>
      <c r="E502" s="17" t="n">
        <f aca="false">19.48/95*Notas!$B$3</f>
        <v>19.48</v>
      </c>
      <c r="F502" s="13" t="n">
        <v>2</v>
      </c>
      <c r="G502" s="17" t="n">
        <f aca="false">17.89/95*Notas!$B$3</f>
        <v>17.89</v>
      </c>
      <c r="H502" s="17" t="n">
        <f aca="false">16.75/95*Notas!$B$3</f>
        <v>16.75</v>
      </c>
      <c r="I502" s="17" t="n">
        <f aca="false">54.01/95*Notas!$B$3</f>
        <v>54.01</v>
      </c>
      <c r="J502" s="17" t="n">
        <f aca="false">106.93/95*Notas!$B$3</f>
        <v>106.93</v>
      </c>
    </row>
    <row r="503" customFormat="false" ht="15" hidden="false" customHeight="false" outlineLevel="0" collapsed="false">
      <c r="A503" s="13" t="s">
        <v>237</v>
      </c>
      <c r="B503" s="13" t="n">
        <v>7</v>
      </c>
      <c r="C503" s="17" t="n">
        <f aca="false">B503/100*Notas!$B$3</f>
        <v>6.65</v>
      </c>
      <c r="D503" s="17" t="n">
        <f aca="false">34.79/95*Notas!$B$3</f>
        <v>34.79</v>
      </c>
      <c r="E503" s="17" t="n">
        <f aca="false">14.94/95*Notas!$B$3</f>
        <v>14.94</v>
      </c>
      <c r="F503" s="13" t="n">
        <v>2</v>
      </c>
      <c r="G503" s="17" t="n">
        <f aca="false">14.61/95*Notas!$B$3</f>
        <v>14.61</v>
      </c>
      <c r="H503" s="17" t="n">
        <f aca="false">13.39/95*Notas!$B$3</f>
        <v>13.39</v>
      </c>
      <c r="I503" s="17" t="n">
        <f aca="false">40.87/95*Notas!$B$3</f>
        <v>40.87</v>
      </c>
      <c r="J503" s="17" t="n">
        <f aca="false">81.49/95*Notas!$B$3</f>
        <v>81.49</v>
      </c>
    </row>
    <row r="504" customFormat="false" ht="15" hidden="false" customHeight="false" outlineLevel="0" collapsed="false">
      <c r="A504" s="13" t="s">
        <v>237</v>
      </c>
      <c r="B504" s="13" t="n">
        <v>8</v>
      </c>
      <c r="C504" s="17" t="n">
        <f aca="false">B504/100*Notas!$B$3</f>
        <v>7.6</v>
      </c>
      <c r="D504" s="17" t="n">
        <f aca="false">36.54/95*Notas!$B$3</f>
        <v>36.54</v>
      </c>
      <c r="E504" s="17" t="n">
        <f aca="false">17.16/95*Notas!$B$3</f>
        <v>17.16</v>
      </c>
      <c r="F504" s="13" t="n">
        <v>2</v>
      </c>
      <c r="G504" s="17" t="n">
        <f aca="false">16.88/95*Notas!$B$3</f>
        <v>16.88</v>
      </c>
      <c r="H504" s="17" t="n">
        <f aca="false">15.75/95*Notas!$B$3</f>
        <v>15.75</v>
      </c>
      <c r="I504" s="17" t="n">
        <f aca="false">47.61/95*Notas!$B$3</f>
        <v>47.61</v>
      </c>
      <c r="J504" s="17" t="n">
        <f aca="false">94.26/95*Notas!$B$3</f>
        <v>94.26</v>
      </c>
    </row>
    <row r="505" customFormat="false" ht="15" hidden="false" customHeight="false" outlineLevel="0" collapsed="false">
      <c r="A505" s="13" t="s">
        <v>237</v>
      </c>
      <c r="B505" s="13" t="n">
        <v>9</v>
      </c>
      <c r="C505" s="17" t="n">
        <f aca="false">B505/100*Notas!$B$3</f>
        <v>8.55</v>
      </c>
      <c r="D505" s="17" t="n">
        <f aca="false">36.23/95*Notas!$B$3</f>
        <v>36.23</v>
      </c>
      <c r="E505" s="17" t="n">
        <f aca="false">17.35/95*Notas!$B$3</f>
        <v>17.35</v>
      </c>
      <c r="F505" s="13" t="n">
        <v>2</v>
      </c>
      <c r="G505" s="17" t="n">
        <f aca="false">17.06/95*Notas!$B$3</f>
        <v>17.06</v>
      </c>
      <c r="H505" s="17" t="n">
        <f aca="false">15.59/95*Notas!$B$3</f>
        <v>15.59</v>
      </c>
      <c r="I505" s="17" t="n">
        <f aca="false">47.76/95*Notas!$B$3</f>
        <v>47.76</v>
      </c>
      <c r="J505" s="17" t="n">
        <f aca="false">95.09/95*Notas!$B$3</f>
        <v>95.09</v>
      </c>
    </row>
    <row r="506" customFormat="false" ht="15" hidden="false" customHeight="false" outlineLevel="0" collapsed="false">
      <c r="A506" s="13" t="s">
        <v>237</v>
      </c>
      <c r="B506" s="13" t="n">
        <v>10</v>
      </c>
      <c r="C506" s="17" t="n">
        <f aca="false">B506/100*Notas!$B$3</f>
        <v>9.5</v>
      </c>
      <c r="D506" s="17" t="n">
        <f aca="false">35.93/95*Notas!$B$3</f>
        <v>35.93</v>
      </c>
      <c r="E506" s="17" t="n">
        <f aca="false">17.21/95*Notas!$B$3</f>
        <v>17.21</v>
      </c>
      <c r="F506" s="13" t="n">
        <v>2</v>
      </c>
      <c r="G506" s="17" t="n">
        <f aca="false">16.86/95*Notas!$B$3</f>
        <v>16.86</v>
      </c>
      <c r="H506" s="17" t="n">
        <f aca="false">15.43/95*Notas!$B$3</f>
        <v>15.43</v>
      </c>
      <c r="I506" s="17" t="n">
        <f aca="false">47.3/95*Notas!$B$3</f>
        <v>47.3</v>
      </c>
      <c r="J506" s="17" t="n">
        <f aca="false">94.35/95*Notas!$B$3</f>
        <v>94.35</v>
      </c>
    </row>
    <row r="507" customFormat="false" ht="15" hidden="false" customHeight="false" outlineLevel="0" collapsed="false">
      <c r="A507" s="13" t="s">
        <v>237</v>
      </c>
      <c r="B507" s="13" t="n">
        <v>11</v>
      </c>
      <c r="C507" s="17" t="n">
        <f aca="false">B507/100*Notas!$B$3</f>
        <v>10.45</v>
      </c>
      <c r="D507" s="17" t="n">
        <f aca="false">35.64/95*Notas!$B$3</f>
        <v>35.64</v>
      </c>
      <c r="E507" s="17" t="n">
        <f aca="false">17.07/95*Notas!$B$3</f>
        <v>17.07</v>
      </c>
      <c r="F507" s="13" t="n">
        <v>2</v>
      </c>
      <c r="G507" s="17" t="n">
        <f aca="false">16.67/95*Notas!$B$3</f>
        <v>16.67</v>
      </c>
      <c r="H507" s="17" t="n">
        <f aca="false">15.27/95*Notas!$B$3</f>
        <v>15.27</v>
      </c>
      <c r="I507" s="17" t="n">
        <f aca="false">46.85/95*Notas!$B$3</f>
        <v>46.85</v>
      </c>
      <c r="J507" s="17" t="n">
        <f aca="false">93.62/95*Notas!$B$3</f>
        <v>93.62</v>
      </c>
    </row>
    <row r="508" customFormat="false" ht="15" hidden="false" customHeight="false" outlineLevel="0" collapsed="false">
      <c r="A508" s="13" t="s">
        <v>237</v>
      </c>
      <c r="B508" s="13" t="n">
        <v>12</v>
      </c>
      <c r="C508" s="17" t="n">
        <f aca="false">B508/100*Notas!$B$3</f>
        <v>11.4</v>
      </c>
      <c r="D508" s="17" t="n">
        <f aca="false">34.05/95*Notas!$B$3</f>
        <v>34.05</v>
      </c>
      <c r="E508" s="17" t="n">
        <f aca="false">15.17/95*Notas!$B$3</f>
        <v>15.17</v>
      </c>
      <c r="F508" s="13" t="n">
        <v>2</v>
      </c>
      <c r="G508" s="17" t="n">
        <f aca="false">15.01/95*Notas!$B$3</f>
        <v>15.01</v>
      </c>
      <c r="H508" s="17" t="n">
        <f aca="false">13.55/95*Notas!$B$3</f>
        <v>13.55</v>
      </c>
      <c r="I508" s="17" t="n">
        <f aca="false">41.88/95*Notas!$B$3</f>
        <v>41.88</v>
      </c>
      <c r="J508" s="17" t="n">
        <f aca="false">80.67/95*Notas!$B$3</f>
        <v>80.67</v>
      </c>
    </row>
    <row r="509" customFormat="false" ht="15" hidden="false" customHeight="false" outlineLevel="0" collapsed="false">
      <c r="A509" s="13" t="s">
        <v>237</v>
      </c>
      <c r="B509" s="13" t="n">
        <v>13</v>
      </c>
      <c r="C509" s="17" t="n">
        <f aca="false">B509/100*Notas!$B$3</f>
        <v>12.35</v>
      </c>
      <c r="D509" s="17" t="n">
        <f aca="false">31.79/95*Notas!$B$3</f>
        <v>31.79</v>
      </c>
      <c r="E509" s="17" t="n">
        <f aca="false">13.95/95*Notas!$B$3</f>
        <v>13.95</v>
      </c>
      <c r="F509" s="13" t="n">
        <v>2</v>
      </c>
      <c r="G509" s="17" t="n">
        <f aca="false">13.17/95*Notas!$B$3</f>
        <v>13.17</v>
      </c>
      <c r="H509" s="17" t="n">
        <f aca="false">12.42/95*Notas!$B$3</f>
        <v>12.42</v>
      </c>
      <c r="I509" s="17" t="n">
        <f aca="false">38.04/95*Notas!$B$3</f>
        <v>38.04</v>
      </c>
      <c r="J509" s="17" t="n">
        <f aca="false">76.54/95*Notas!$B$3</f>
        <v>76.54</v>
      </c>
    </row>
    <row r="510" customFormat="false" ht="15" hidden="false" customHeight="false" outlineLevel="0" collapsed="false">
      <c r="A510" s="13" t="s">
        <v>237</v>
      </c>
      <c r="B510" s="13" t="n">
        <v>14</v>
      </c>
      <c r="C510" s="17" t="n">
        <f aca="false">B510/100*Notas!$B$3</f>
        <v>13.3</v>
      </c>
      <c r="D510" s="17" t="n">
        <f aca="false">31.34/95*Notas!$B$3</f>
        <v>31.34</v>
      </c>
      <c r="E510" s="17" t="n">
        <f aca="false">13.81/95*Notas!$B$3</f>
        <v>13.81</v>
      </c>
      <c r="F510" s="13" t="n">
        <v>2</v>
      </c>
      <c r="G510" s="17" t="n">
        <f aca="false">13.07/95*Notas!$B$3</f>
        <v>13.07</v>
      </c>
      <c r="H510" s="17" t="n">
        <f aca="false">12.37/95*Notas!$B$3</f>
        <v>12.37</v>
      </c>
      <c r="I510" s="17" t="n">
        <f aca="false">37.93/95*Notas!$B$3</f>
        <v>37.93</v>
      </c>
      <c r="J510" s="17" t="n">
        <f aca="false">76.28/95*Notas!$B$3</f>
        <v>76.28</v>
      </c>
    </row>
    <row r="511" customFormat="false" ht="15" hidden="false" customHeight="false" outlineLevel="0" collapsed="false">
      <c r="A511" s="13" t="s">
        <v>237</v>
      </c>
      <c r="B511" s="13" t="n">
        <v>15</v>
      </c>
      <c r="C511" s="17" t="n">
        <f aca="false">B511/100*Notas!$B$3</f>
        <v>14.25</v>
      </c>
      <c r="D511" s="17" t="n">
        <f aca="false">30.89/95*Notas!$B$3</f>
        <v>30.89</v>
      </c>
      <c r="E511" s="17" t="n">
        <f aca="false">13.69/95*Notas!$B$3</f>
        <v>13.69</v>
      </c>
      <c r="F511" s="13" t="n">
        <v>2</v>
      </c>
      <c r="G511" s="17" t="n">
        <f aca="false">13.04/95*Notas!$B$3</f>
        <v>13.04</v>
      </c>
      <c r="H511" s="17" t="n">
        <f aca="false">12.28/95*Notas!$B$3</f>
        <v>12.28</v>
      </c>
      <c r="I511" s="17" t="n">
        <f aca="false">37.88/95*Notas!$B$3</f>
        <v>37.88</v>
      </c>
      <c r="J511" s="17" t="n">
        <f aca="false">76.13/95*Notas!$B$3</f>
        <v>76.13</v>
      </c>
    </row>
    <row r="512" customFormat="false" ht="15" hidden="false" customHeight="false" outlineLevel="0" collapsed="false">
      <c r="A512" s="13" t="s">
        <v>237</v>
      </c>
      <c r="B512" s="13" t="n">
        <v>16</v>
      </c>
      <c r="C512" s="17" t="n">
        <f aca="false">B512/100*Notas!$B$3</f>
        <v>15.2</v>
      </c>
      <c r="D512" s="17" t="n">
        <f aca="false">30.42/95*Notas!$B$3</f>
        <v>30.42</v>
      </c>
      <c r="E512" s="17" t="n">
        <f aca="false">13.6/95*Notas!$B$3</f>
        <v>13.6</v>
      </c>
      <c r="F512" s="13" t="n">
        <v>2</v>
      </c>
      <c r="G512" s="17" t="n">
        <f aca="false">13/95*Notas!$B$3</f>
        <v>13</v>
      </c>
      <c r="H512" s="17" t="n">
        <f aca="false">12.2/95*Notas!$B$3</f>
        <v>12.2</v>
      </c>
      <c r="I512" s="17" t="n">
        <f aca="false">37.82/95*Notas!$B$3</f>
        <v>37.82</v>
      </c>
      <c r="J512" s="17" t="n">
        <f aca="false">76.02/95*Notas!$B$3</f>
        <v>76.02</v>
      </c>
    </row>
    <row r="513" customFormat="false" ht="15" hidden="false" customHeight="false" outlineLevel="0" collapsed="false">
      <c r="A513" s="13" t="s">
        <v>237</v>
      </c>
      <c r="B513" s="13" t="n">
        <v>17</v>
      </c>
      <c r="C513" s="17" t="n">
        <f aca="false">B513/100*Notas!$B$3</f>
        <v>16.15</v>
      </c>
      <c r="D513" s="17" t="n">
        <f aca="false">29.94/95*Notas!$B$3</f>
        <v>29.94</v>
      </c>
      <c r="E513" s="17" t="n">
        <f aca="false">13.52/95*Notas!$B$3</f>
        <v>13.52</v>
      </c>
      <c r="F513" s="13" t="n">
        <v>2</v>
      </c>
      <c r="G513" s="17" t="n">
        <f aca="false">12.95/95*Notas!$B$3</f>
        <v>12.95</v>
      </c>
      <c r="H513" s="17" t="n">
        <f aca="false">12.13/95*Notas!$B$3</f>
        <v>12.13</v>
      </c>
      <c r="I513" s="17" t="n">
        <f aca="false">37.78/95*Notas!$B$3</f>
        <v>37.78</v>
      </c>
      <c r="J513" s="17" t="n">
        <f aca="false">75.89/95*Notas!$B$3</f>
        <v>75.89</v>
      </c>
    </row>
    <row r="514" customFormat="false" ht="15" hidden="false" customHeight="false" outlineLevel="0" collapsed="false">
      <c r="A514" s="13" t="s">
        <v>237</v>
      </c>
      <c r="B514" s="13" t="n">
        <v>18</v>
      </c>
      <c r="C514" s="17" t="n">
        <f aca="false">B514/100*Notas!$B$3</f>
        <v>17.1</v>
      </c>
      <c r="D514" s="17" t="n">
        <f aca="false">29.43/95*Notas!$B$3</f>
        <v>29.43</v>
      </c>
      <c r="E514" s="17" t="n">
        <f aca="false">13.42/95*Notas!$B$3</f>
        <v>13.42</v>
      </c>
      <c r="F514" s="13" t="n">
        <v>2</v>
      </c>
      <c r="G514" s="17" t="n">
        <f aca="false">12.88/95*Notas!$B$3</f>
        <v>12.88</v>
      </c>
      <c r="H514" s="17" t="n">
        <f aca="false">12.06/95*Notas!$B$3</f>
        <v>12.06</v>
      </c>
      <c r="I514" s="17" t="n">
        <f aca="false">37.74/95*Notas!$B$3</f>
        <v>37.74</v>
      </c>
      <c r="J514" s="17" t="n">
        <f aca="false">75.71/95*Notas!$B$3</f>
        <v>75.71</v>
      </c>
    </row>
    <row r="515" customFormat="false" ht="15" hidden="false" customHeight="false" outlineLevel="0" collapsed="false">
      <c r="A515" s="13" t="s">
        <v>237</v>
      </c>
      <c r="B515" s="13" t="n">
        <v>19</v>
      </c>
      <c r="C515" s="17" t="n">
        <f aca="false">B515/100*Notas!$B$3</f>
        <v>18.05</v>
      </c>
      <c r="D515" s="17" t="n">
        <f aca="false">28.95/95*Notas!$B$3</f>
        <v>28.95</v>
      </c>
      <c r="E515" s="17" t="n">
        <f aca="false">13.33/95*Notas!$B$3</f>
        <v>13.33</v>
      </c>
      <c r="F515" s="13" t="n">
        <v>2</v>
      </c>
      <c r="G515" s="17" t="n">
        <f aca="false">12.84/95*Notas!$B$3</f>
        <v>12.84</v>
      </c>
      <c r="H515" s="17" t="n">
        <f aca="false">12/95*Notas!$B$3</f>
        <v>12</v>
      </c>
      <c r="I515" s="17" t="n">
        <f aca="false">37.7/95*Notas!$B$3</f>
        <v>37.7</v>
      </c>
      <c r="J515" s="17" t="n">
        <f aca="false">75.5/95*Notas!$B$3</f>
        <v>75.5</v>
      </c>
    </row>
    <row r="516" customFormat="false" ht="15" hidden="false" customHeight="false" outlineLevel="0" collapsed="false">
      <c r="A516" s="13" t="s">
        <v>237</v>
      </c>
      <c r="B516" s="13" t="n">
        <v>20</v>
      </c>
      <c r="C516" s="17" t="n">
        <f aca="false">B516/100*Notas!$B$3</f>
        <v>19</v>
      </c>
      <c r="D516" s="17" t="n">
        <f aca="false">39.24/95*Notas!$B$3</f>
        <v>39.24</v>
      </c>
      <c r="E516" s="17" t="n">
        <f aca="false">13.24/95*Notas!$B$3</f>
        <v>13.24</v>
      </c>
      <c r="F516" s="13" t="n">
        <v>4</v>
      </c>
      <c r="G516" s="17" t="n">
        <f aca="false">12.82/95*Notas!$B$3</f>
        <v>12.82</v>
      </c>
      <c r="H516" s="17" t="n">
        <f aca="false">11.94/95*Notas!$B$3</f>
        <v>11.94</v>
      </c>
      <c r="I516" s="17" t="n">
        <f aca="false">37.67/95*Notas!$B$3</f>
        <v>37.67</v>
      </c>
      <c r="J516" s="17" t="n">
        <f aca="false">105.23/95*Notas!$B$3</f>
        <v>105.23</v>
      </c>
    </row>
    <row r="517" customFormat="false" ht="15" hidden="false" customHeight="false" outlineLevel="0" collapsed="false">
      <c r="A517" s="13" t="s">
        <v>237</v>
      </c>
      <c r="B517" s="13" t="n">
        <v>21</v>
      </c>
      <c r="C517" s="17" t="n">
        <f aca="false">B517/100*Notas!$B$3</f>
        <v>19.95</v>
      </c>
      <c r="D517" s="17" t="n">
        <f aca="false">41.23/95*Notas!$B$3</f>
        <v>41.23</v>
      </c>
      <c r="E517" s="17" t="n">
        <f aca="false">13.23/95*Notas!$B$3</f>
        <v>13.23</v>
      </c>
      <c r="F517" s="13" t="n">
        <v>4</v>
      </c>
      <c r="G517" s="17" t="n">
        <f aca="false">12.6/95*Notas!$B$3</f>
        <v>12.6</v>
      </c>
      <c r="H517" s="17" t="n">
        <f aca="false">11.71/95*Notas!$B$3</f>
        <v>11.71</v>
      </c>
      <c r="I517" s="17" t="n">
        <f aca="false">37.44/95*Notas!$B$3</f>
        <v>37.44</v>
      </c>
      <c r="J517" s="17" t="n">
        <f aca="false">125.2/95*Notas!$B$3</f>
        <v>125.2</v>
      </c>
    </row>
    <row r="518" customFormat="false" ht="15" hidden="false" customHeight="false" outlineLevel="0" collapsed="false">
      <c r="A518" s="13" t="s">
        <v>237</v>
      </c>
      <c r="B518" s="13" t="n">
        <v>22</v>
      </c>
      <c r="C518" s="17" t="n">
        <f aca="false">B518/100*Notas!$B$3</f>
        <v>20.9</v>
      </c>
      <c r="D518" s="17" t="n">
        <f aca="false">42.75/95*Notas!$B$3</f>
        <v>42.75</v>
      </c>
      <c r="E518" s="17" t="n">
        <f aca="false">14.26/95*Notas!$B$3</f>
        <v>14.26</v>
      </c>
      <c r="F518" s="13" t="n">
        <v>4</v>
      </c>
      <c r="G518" s="17" t="n">
        <f aca="false">12.76/95*Notas!$B$3</f>
        <v>12.76</v>
      </c>
      <c r="H518" s="17" t="n">
        <f aca="false">11.82/95*Notas!$B$3</f>
        <v>11.82</v>
      </c>
      <c r="I518" s="17" t="n">
        <f aca="false">37.48/95*Notas!$B$3</f>
        <v>37.48</v>
      </c>
      <c r="J518" s="17" t="n">
        <f aca="false">132.47/95*Notas!$B$3</f>
        <v>132.47</v>
      </c>
    </row>
    <row r="519" customFormat="false" ht="15" hidden="false" customHeight="false" outlineLevel="0" collapsed="false">
      <c r="A519" s="13" t="s">
        <v>237</v>
      </c>
      <c r="B519" s="13" t="n">
        <v>23</v>
      </c>
      <c r="C519" s="17" t="n">
        <f aca="false">B519/100*Notas!$B$3</f>
        <v>21.85</v>
      </c>
      <c r="D519" s="17" t="n">
        <f aca="false">44.15/95*Notas!$B$3</f>
        <v>44.15</v>
      </c>
      <c r="E519" s="17" t="n">
        <f aca="false">14.31/95*Notas!$B$3</f>
        <v>14.31</v>
      </c>
      <c r="F519" s="13" t="n">
        <v>4</v>
      </c>
      <c r="G519" s="17" t="n">
        <f aca="false">12.73/95*Notas!$B$3</f>
        <v>12.73</v>
      </c>
      <c r="H519" s="17" t="n">
        <f aca="false">11.75/95*Notas!$B$3</f>
        <v>11.75</v>
      </c>
      <c r="I519" s="17" t="n">
        <f aca="false">37.3/95*Notas!$B$3</f>
        <v>37.3</v>
      </c>
      <c r="J519" s="17" t="n">
        <f aca="false">135.56/95*Notas!$B$3</f>
        <v>135.56</v>
      </c>
    </row>
    <row r="520" customFormat="false" ht="15" hidden="false" customHeight="false" outlineLevel="0" collapsed="false">
      <c r="A520" s="13" t="s">
        <v>237</v>
      </c>
      <c r="B520" s="13" t="n">
        <v>24</v>
      </c>
      <c r="C520" s="17" t="n">
        <f aca="false">B520/100*Notas!$B$3</f>
        <v>22.8</v>
      </c>
      <c r="D520" s="17" t="n">
        <f aca="false">45.34/95*Notas!$B$3</f>
        <v>45.34</v>
      </c>
      <c r="E520" s="17" t="n">
        <f aca="false">14.1/95*Notas!$B$3</f>
        <v>14.1</v>
      </c>
      <c r="F520" s="13" t="n">
        <v>4</v>
      </c>
      <c r="G520" s="17" t="n">
        <f aca="false">12.97/95*Notas!$B$3</f>
        <v>12.97</v>
      </c>
      <c r="H520" s="17" t="n">
        <f aca="false">11.68/95*Notas!$B$3</f>
        <v>11.68</v>
      </c>
      <c r="I520" s="17" t="n">
        <f aca="false">37.4/95*Notas!$B$3</f>
        <v>37.4</v>
      </c>
      <c r="J520" s="17" t="n">
        <f aca="false">136.85/95*Notas!$B$3</f>
        <v>136.85</v>
      </c>
    </row>
    <row r="521" customFormat="false" ht="15" hidden="false" customHeight="false" outlineLevel="0" collapsed="false">
      <c r="A521" s="13" t="s">
        <v>237</v>
      </c>
      <c r="B521" s="13" t="n">
        <v>25</v>
      </c>
      <c r="C521" s="17" t="n">
        <f aca="false">B521/100*Notas!$B$3</f>
        <v>23.75</v>
      </c>
      <c r="D521" s="17" t="n">
        <f aca="false">45.57/95*Notas!$B$3</f>
        <v>45.57</v>
      </c>
      <c r="E521" s="17" t="n">
        <f aca="false">13.75/95*Notas!$B$3</f>
        <v>13.75</v>
      </c>
      <c r="F521" s="13" t="n">
        <v>5</v>
      </c>
      <c r="G521" s="17" t="n">
        <f aca="false">26.33/95*Notas!$B$3</f>
        <v>26.33</v>
      </c>
      <c r="H521" s="17" t="n">
        <f aca="false">12.78/95*Notas!$B$3</f>
        <v>12.78</v>
      </c>
      <c r="I521" s="17" t="n">
        <f aca="false">65.71/95*Notas!$B$3</f>
        <v>65.71</v>
      </c>
      <c r="J521" s="17" t="n">
        <f aca="false">135.97/95*Notas!$B$3</f>
        <v>135.97</v>
      </c>
    </row>
    <row r="522" customFormat="false" ht="15" hidden="false" customHeight="false" outlineLevel="0" collapsed="false">
      <c r="A522" s="13" t="s">
        <v>237</v>
      </c>
      <c r="B522" s="13" t="n">
        <v>26</v>
      </c>
      <c r="C522" s="17" t="n">
        <f aca="false">B522/100*Notas!$B$3</f>
        <v>24.7</v>
      </c>
      <c r="D522" s="17" t="n">
        <f aca="false">45.26/95*Notas!$B$3</f>
        <v>45.26</v>
      </c>
      <c r="E522" s="17" t="n">
        <f aca="false">13.76/95*Notas!$B$3</f>
        <v>13.76</v>
      </c>
      <c r="F522" s="13" t="n">
        <v>5</v>
      </c>
      <c r="G522" s="17" t="n">
        <f aca="false">25.86/95*Notas!$B$3</f>
        <v>25.86</v>
      </c>
      <c r="H522" s="17" t="n">
        <f aca="false">12.69/95*Notas!$B$3</f>
        <v>12.69</v>
      </c>
      <c r="I522" s="17" t="n">
        <f aca="false">63.73/95*Notas!$B$3</f>
        <v>63.73</v>
      </c>
      <c r="J522" s="17" t="n">
        <f aca="false">140.54/95*Notas!$B$3</f>
        <v>140.54</v>
      </c>
    </row>
    <row r="523" customFormat="false" ht="15" hidden="false" customHeight="false" outlineLevel="0" collapsed="false">
      <c r="A523" s="13" t="s">
        <v>237</v>
      </c>
      <c r="B523" s="13" t="n">
        <v>27</v>
      </c>
      <c r="C523" s="17" t="n">
        <f aca="false">B523/100*Notas!$B$3</f>
        <v>25.65</v>
      </c>
      <c r="D523" s="17" t="n">
        <f aca="false">44.81/95*Notas!$B$3</f>
        <v>44.81</v>
      </c>
      <c r="E523" s="17" t="n">
        <f aca="false">13.38/95*Notas!$B$3</f>
        <v>13.38</v>
      </c>
      <c r="F523" s="13" t="n">
        <v>4</v>
      </c>
      <c r="G523" s="17" t="n">
        <f aca="false">25.2/95*Notas!$B$3</f>
        <v>25.2</v>
      </c>
      <c r="H523" s="17" t="n">
        <f aca="false">12.97/95*Notas!$B$3</f>
        <v>12.97</v>
      </c>
      <c r="I523" s="17" t="n">
        <f aca="false">62.47/95*Notas!$B$3</f>
        <v>62.47</v>
      </c>
      <c r="J523" s="17" t="n">
        <f aca="false">136.93/95*Notas!$B$3</f>
        <v>136.93</v>
      </c>
    </row>
    <row r="524" customFormat="false" ht="15" hidden="false" customHeight="false" outlineLevel="0" collapsed="false">
      <c r="A524" s="13" t="s">
        <v>237</v>
      </c>
      <c r="B524" s="13" t="n">
        <v>28</v>
      </c>
      <c r="C524" s="17" t="n">
        <f aca="false">B524/100*Notas!$B$3</f>
        <v>26.6</v>
      </c>
      <c r="D524" s="17" t="n">
        <f aca="false">44.36/95*Notas!$B$3</f>
        <v>44.36</v>
      </c>
      <c r="E524" s="17" t="n">
        <f aca="false">13.38/95*Notas!$B$3</f>
        <v>13.38</v>
      </c>
      <c r="F524" s="13" t="n">
        <v>3</v>
      </c>
      <c r="G524" s="17" t="n">
        <f aca="false">24.53/95*Notas!$B$3</f>
        <v>24.53</v>
      </c>
      <c r="H524" s="17" t="n">
        <f aca="false">13.38/95*Notas!$B$3</f>
        <v>13.38</v>
      </c>
      <c r="I524" s="17" t="n">
        <f aca="false">61.37/95*Notas!$B$3</f>
        <v>61.37</v>
      </c>
      <c r="J524" s="17" t="n">
        <f aca="false">126.06/95*Notas!$B$3</f>
        <v>126.06</v>
      </c>
    </row>
    <row r="525" customFormat="false" ht="15" hidden="false" customHeight="false" outlineLevel="0" collapsed="false">
      <c r="A525" s="13" t="s">
        <v>237</v>
      </c>
      <c r="B525" s="13" t="n">
        <v>29</v>
      </c>
      <c r="C525" s="17" t="n">
        <f aca="false">B525/100*Notas!$B$3</f>
        <v>27.55</v>
      </c>
      <c r="D525" s="17" t="n">
        <f aca="false">43.91/95*Notas!$B$3</f>
        <v>43.91</v>
      </c>
      <c r="E525" s="17" t="n">
        <f aca="false">13.68/95*Notas!$B$3</f>
        <v>13.68</v>
      </c>
      <c r="F525" s="13" t="n">
        <v>3</v>
      </c>
      <c r="G525" s="17" t="n">
        <f aca="false">23.96/95*Notas!$B$3</f>
        <v>23.96</v>
      </c>
      <c r="H525" s="17" t="n">
        <f aca="false">13.68/95*Notas!$B$3</f>
        <v>13.68</v>
      </c>
      <c r="I525" s="17" t="n">
        <f aca="false">60.41/95*Notas!$B$3</f>
        <v>60.41</v>
      </c>
      <c r="J525" s="17" t="n">
        <f aca="false">121.63/95*Notas!$B$3</f>
        <v>121.63</v>
      </c>
    </row>
    <row r="526" customFormat="false" ht="15" hidden="false" customHeight="false" outlineLevel="0" collapsed="false">
      <c r="A526" s="13" t="s">
        <v>237</v>
      </c>
      <c r="B526" s="13" t="n">
        <v>30</v>
      </c>
      <c r="C526" s="17" t="n">
        <f aca="false">B526/100*Notas!$B$3</f>
        <v>28.5</v>
      </c>
      <c r="D526" s="17" t="n">
        <f aca="false">43.42/95*Notas!$B$3</f>
        <v>43.42</v>
      </c>
      <c r="E526" s="17" t="n">
        <f aca="false">13.94/95*Notas!$B$3</f>
        <v>13.94</v>
      </c>
      <c r="F526" s="13" t="n">
        <v>3</v>
      </c>
      <c r="G526" s="17" t="n">
        <f aca="false">23.34/95*Notas!$B$3</f>
        <v>23.34</v>
      </c>
      <c r="H526" s="17" t="n">
        <f aca="false">13.94/95*Notas!$B$3</f>
        <v>13.94</v>
      </c>
      <c r="I526" s="17" t="n">
        <f aca="false">59.46/95*Notas!$B$3</f>
        <v>59.46</v>
      </c>
      <c r="J526" s="17" t="n">
        <f aca="false">117.55/95*Notas!$B$3</f>
        <v>117.55</v>
      </c>
    </row>
    <row r="527" customFormat="false" ht="15" hidden="false" customHeight="false" outlineLevel="0" collapsed="false">
      <c r="A527" s="13" t="s">
        <v>237</v>
      </c>
      <c r="B527" s="13" t="n">
        <v>31</v>
      </c>
      <c r="C527" s="17" t="n">
        <f aca="false">B527/100*Notas!$B$3</f>
        <v>29.45</v>
      </c>
      <c r="D527" s="17" t="n">
        <f aca="false">42.92/95*Notas!$B$3</f>
        <v>42.92</v>
      </c>
      <c r="E527" s="17" t="n">
        <f aca="false">14.05/95*Notas!$B$3</f>
        <v>14.05</v>
      </c>
      <c r="F527" s="13" t="n">
        <v>3</v>
      </c>
      <c r="G527" s="17" t="n">
        <f aca="false">22.77/95*Notas!$B$3</f>
        <v>22.77</v>
      </c>
      <c r="H527" s="17" t="n">
        <f aca="false">14.05/95*Notas!$B$3</f>
        <v>14.05</v>
      </c>
      <c r="I527" s="17" t="n">
        <f aca="false">58.52/95*Notas!$B$3</f>
        <v>58.52</v>
      </c>
      <c r="J527" s="17" t="n">
        <f aca="false">113.9/95*Notas!$B$3</f>
        <v>113.9</v>
      </c>
    </row>
    <row r="528" customFormat="false" ht="15" hidden="false" customHeight="false" outlineLevel="0" collapsed="false">
      <c r="A528" s="13" t="s">
        <v>237</v>
      </c>
      <c r="B528" s="13" t="n">
        <v>32</v>
      </c>
      <c r="C528" s="17" t="n">
        <f aca="false">B528/100*Notas!$B$3</f>
        <v>30.4</v>
      </c>
      <c r="D528" s="17" t="n">
        <f aca="false">42.4/95*Notas!$B$3</f>
        <v>42.4</v>
      </c>
      <c r="E528" s="17" t="n">
        <f aca="false">14.02/95*Notas!$B$3</f>
        <v>14.02</v>
      </c>
      <c r="F528" s="13" t="n">
        <v>3</v>
      </c>
      <c r="G528" s="17" t="n">
        <f aca="false">22.29/95*Notas!$B$3</f>
        <v>22.29</v>
      </c>
      <c r="H528" s="17" t="n">
        <f aca="false">14.02/95*Notas!$B$3</f>
        <v>14.02</v>
      </c>
      <c r="I528" s="17" t="n">
        <f aca="false">57.74/95*Notas!$B$3</f>
        <v>57.74</v>
      </c>
      <c r="J528" s="17" t="n">
        <f aca="false">110.86/95*Notas!$B$3</f>
        <v>110.86</v>
      </c>
    </row>
    <row r="529" customFormat="false" ht="15" hidden="false" customHeight="false" outlineLevel="0" collapsed="false">
      <c r="A529" s="13" t="s">
        <v>237</v>
      </c>
      <c r="B529" s="13" t="n">
        <v>33</v>
      </c>
      <c r="C529" s="17" t="n">
        <f aca="false">B529/100*Notas!$B$3</f>
        <v>31.35</v>
      </c>
      <c r="D529" s="17" t="n">
        <f aca="false">41.88/95*Notas!$B$3</f>
        <v>41.88</v>
      </c>
      <c r="E529" s="17" t="n">
        <f aca="false">14.2/95*Notas!$B$3</f>
        <v>14.2</v>
      </c>
      <c r="F529" s="13" t="n">
        <v>3</v>
      </c>
      <c r="G529" s="17" t="n">
        <f aca="false">22.05/95*Notas!$B$3</f>
        <v>22.05</v>
      </c>
      <c r="H529" s="17" t="n">
        <f aca="false">14.2/95*Notas!$B$3</f>
        <v>14.2</v>
      </c>
      <c r="I529" s="17" t="n">
        <f aca="false">60.24/95*Notas!$B$3</f>
        <v>60.24</v>
      </c>
      <c r="J529" s="17" t="n">
        <f aca="false">111.45/95*Notas!$B$3</f>
        <v>111.45</v>
      </c>
    </row>
    <row r="530" customFormat="false" ht="15" hidden="false" customHeight="false" outlineLevel="0" collapsed="false">
      <c r="A530" s="13" t="s">
        <v>237</v>
      </c>
      <c r="B530" s="13" t="n">
        <v>34</v>
      </c>
      <c r="C530" s="17" t="n">
        <f aca="false">B530/100*Notas!$B$3</f>
        <v>32.3</v>
      </c>
      <c r="D530" s="17" t="n">
        <f aca="false">41.36/95*Notas!$B$3</f>
        <v>41.36</v>
      </c>
      <c r="E530" s="17" t="n">
        <f aca="false">15.59/95*Notas!$B$3</f>
        <v>15.59</v>
      </c>
      <c r="F530" s="13" t="n">
        <v>5</v>
      </c>
      <c r="G530" s="17" t="n">
        <f aca="false">24.25/95*Notas!$B$3</f>
        <v>24.25</v>
      </c>
      <c r="H530" s="17" t="n">
        <f aca="false">15.59/95*Notas!$B$3</f>
        <v>15.59</v>
      </c>
      <c r="I530" s="17" t="n">
        <f aca="false">75.97/95*Notas!$B$3</f>
        <v>75.97</v>
      </c>
      <c r="J530" s="17" t="n">
        <f aca="false">135.13/95*Notas!$B$3</f>
        <v>135.13</v>
      </c>
    </row>
    <row r="531" customFormat="false" ht="15" hidden="false" customHeight="false" outlineLevel="0" collapsed="false">
      <c r="A531" s="13" t="s">
        <v>237</v>
      </c>
      <c r="B531" s="13" t="n">
        <v>35</v>
      </c>
      <c r="C531" s="17" t="n">
        <f aca="false">B531/100*Notas!$B$3</f>
        <v>33.25</v>
      </c>
      <c r="D531" s="17" t="n">
        <f aca="false">40.84/95*Notas!$B$3</f>
        <v>40.84</v>
      </c>
      <c r="E531" s="17" t="n">
        <f aca="false">15.27/95*Notas!$B$3</f>
        <v>15.27</v>
      </c>
      <c r="F531" s="13" t="n">
        <v>2</v>
      </c>
      <c r="G531" s="17" t="n">
        <f aca="false">31.71/95*Notas!$B$3</f>
        <v>31.71</v>
      </c>
      <c r="H531" s="17" t="n">
        <f aca="false">15.27/95*Notas!$B$3</f>
        <v>15.27</v>
      </c>
      <c r="I531" s="17" t="n">
        <f aca="false">88.36/95*Notas!$B$3</f>
        <v>88.36</v>
      </c>
      <c r="J531" s="17" t="n">
        <f aca="false">118.88/95*Notas!$B$3</f>
        <v>118.88</v>
      </c>
    </row>
    <row r="532" customFormat="false" ht="15" hidden="false" customHeight="false" outlineLevel="0" collapsed="false">
      <c r="A532" s="13" t="s">
        <v>237</v>
      </c>
      <c r="B532" s="13" t="n">
        <v>36</v>
      </c>
      <c r="C532" s="17" t="n">
        <f aca="false">B532/100*Notas!$B$3</f>
        <v>34.2</v>
      </c>
      <c r="D532" s="17" t="n">
        <f aca="false">40.91/95*Notas!$B$3</f>
        <v>40.91</v>
      </c>
      <c r="E532" s="17" t="n">
        <f aca="false">14.99/95*Notas!$B$3</f>
        <v>14.99</v>
      </c>
      <c r="F532" s="13" t="n">
        <v>2</v>
      </c>
      <c r="G532" s="17" t="n">
        <f aca="false">30.88/95*Notas!$B$3</f>
        <v>30.88</v>
      </c>
      <c r="H532" s="17" t="n">
        <f aca="false">14.99/95*Notas!$B$3</f>
        <v>14.99</v>
      </c>
      <c r="I532" s="17" t="n">
        <f aca="false">89.28/95*Notas!$B$3</f>
        <v>89.28</v>
      </c>
      <c r="J532" s="17" t="n">
        <f aca="false">123.74/95*Notas!$B$3</f>
        <v>123.74</v>
      </c>
    </row>
    <row r="533" customFormat="false" ht="15" hidden="false" customHeight="false" outlineLevel="0" collapsed="false">
      <c r="A533" s="13" t="s">
        <v>237</v>
      </c>
      <c r="B533" s="13" t="n">
        <v>37</v>
      </c>
      <c r="C533" s="17" t="n">
        <f aca="false">B533/100*Notas!$B$3</f>
        <v>35.15</v>
      </c>
      <c r="D533" s="17" t="n">
        <f aca="false">44.55/95*Notas!$B$3</f>
        <v>44.55</v>
      </c>
      <c r="E533" s="17" t="n">
        <f aca="false">15.15/95*Notas!$B$3</f>
        <v>15.15</v>
      </c>
      <c r="F533" s="13" t="n">
        <v>2</v>
      </c>
      <c r="G533" s="17" t="n">
        <f aca="false">31.88/95*Notas!$B$3</f>
        <v>31.88</v>
      </c>
      <c r="H533" s="17" t="n">
        <f aca="false">15.15/95*Notas!$B$3</f>
        <v>15.15</v>
      </c>
      <c r="I533" s="17" t="n">
        <f aca="false">94.59/95*Notas!$B$3</f>
        <v>94.59</v>
      </c>
      <c r="J533" s="17" t="n">
        <f aca="false">132.06/95*Notas!$B$3</f>
        <v>132.06</v>
      </c>
    </row>
    <row r="534" customFormat="false" ht="15" hidden="false" customHeight="false" outlineLevel="0" collapsed="false">
      <c r="A534" s="13" t="s">
        <v>237</v>
      </c>
      <c r="B534" s="13" t="n">
        <v>38</v>
      </c>
      <c r="C534" s="17" t="n">
        <f aca="false">B534/100*Notas!$B$3</f>
        <v>36.1</v>
      </c>
      <c r="D534" s="17" t="n">
        <f aca="false">45.12/95*Notas!$B$3</f>
        <v>45.12</v>
      </c>
      <c r="E534" s="17" t="n">
        <f aca="false">15.11/95*Notas!$B$3</f>
        <v>15.11</v>
      </c>
      <c r="F534" s="13" t="n">
        <v>3</v>
      </c>
      <c r="G534" s="17" t="n">
        <f aca="false">19.91/95*Notas!$B$3</f>
        <v>19.91</v>
      </c>
      <c r="H534" s="17" t="n">
        <f aca="false">15.11/95*Notas!$B$3</f>
        <v>15.11</v>
      </c>
      <c r="I534" s="17" t="n">
        <f aca="false">58.91/95*Notas!$B$3</f>
        <v>58.91</v>
      </c>
      <c r="J534" s="17" t="n">
        <f aca="false">134.07/95*Notas!$B$3</f>
        <v>134.07</v>
      </c>
    </row>
    <row r="535" customFormat="false" ht="15" hidden="false" customHeight="false" outlineLevel="0" collapsed="false">
      <c r="A535" s="13" t="s">
        <v>237</v>
      </c>
      <c r="B535" s="13" t="n">
        <v>39</v>
      </c>
      <c r="C535" s="17" t="n">
        <f aca="false">B535/100*Notas!$B$3</f>
        <v>37.05</v>
      </c>
      <c r="D535" s="17" t="n">
        <f aca="false">44.48/95*Notas!$B$3</f>
        <v>44.48</v>
      </c>
      <c r="E535" s="17" t="n">
        <f aca="false">15.23/95*Notas!$B$3</f>
        <v>15.23</v>
      </c>
      <c r="F535" s="13" t="n">
        <v>3</v>
      </c>
      <c r="G535" s="17" t="n">
        <f aca="false">18.78/95*Notas!$B$3</f>
        <v>18.78</v>
      </c>
      <c r="H535" s="17" t="n">
        <f aca="false">15.23/95*Notas!$B$3</f>
        <v>15.23</v>
      </c>
      <c r="I535" s="17" t="n">
        <f aca="false">58.61/95*Notas!$B$3</f>
        <v>58.61</v>
      </c>
      <c r="J535" s="17" t="n">
        <f aca="false">132.1/95*Notas!$B$3</f>
        <v>132.1</v>
      </c>
    </row>
    <row r="536" customFormat="false" ht="15" hidden="false" customHeight="false" outlineLevel="0" collapsed="false">
      <c r="A536" s="13" t="s">
        <v>237</v>
      </c>
      <c r="B536" s="13" t="n">
        <v>40</v>
      </c>
      <c r="C536" s="17" t="n">
        <f aca="false">B536/100*Notas!$B$3</f>
        <v>38</v>
      </c>
      <c r="D536" s="17" t="n">
        <f aca="false">43.8/95*Notas!$B$3</f>
        <v>43.8</v>
      </c>
      <c r="E536" s="17" t="n">
        <f aca="false">13.61/95*Notas!$B$3</f>
        <v>13.61</v>
      </c>
      <c r="F536" s="13" t="n">
        <v>4</v>
      </c>
      <c r="G536" s="17" t="n">
        <f aca="false">18.39/95*Notas!$B$3</f>
        <v>18.39</v>
      </c>
      <c r="H536" s="17" t="n">
        <f aca="false">13.26/95*Notas!$B$3</f>
        <v>13.26</v>
      </c>
      <c r="I536" s="17" t="n">
        <f aca="false">51.64/95*Notas!$B$3</f>
        <v>51.64</v>
      </c>
      <c r="J536" s="17" t="n">
        <f aca="false">122.57/95*Notas!$B$3</f>
        <v>122.57</v>
      </c>
    </row>
    <row r="537" customFormat="false" ht="15" hidden="false" customHeight="false" outlineLevel="0" collapsed="false">
      <c r="A537" s="13" t="s">
        <v>237</v>
      </c>
      <c r="B537" s="13" t="n">
        <v>41</v>
      </c>
      <c r="C537" s="17" t="n">
        <f aca="false">B537/100*Notas!$B$3</f>
        <v>38.95</v>
      </c>
      <c r="D537" s="17" t="n">
        <f aca="false">43.08/95*Notas!$B$3</f>
        <v>43.08</v>
      </c>
      <c r="E537" s="17" t="n">
        <f aca="false">13.4/95*Notas!$B$3</f>
        <v>13.4</v>
      </c>
      <c r="F537" s="13" t="n">
        <v>3</v>
      </c>
      <c r="G537" s="17" t="n">
        <f aca="false">18.4/95*Notas!$B$3</f>
        <v>18.4</v>
      </c>
      <c r="H537" s="17" t="n">
        <f aca="false">13.4/95*Notas!$B$3</f>
        <v>13.4</v>
      </c>
      <c r="I537" s="17" t="n">
        <f aca="false">52.03/95*Notas!$B$3</f>
        <v>52.03</v>
      </c>
      <c r="J537" s="17" t="n">
        <f aca="false">127.4/95*Notas!$B$3</f>
        <v>127.4</v>
      </c>
    </row>
    <row r="538" customFormat="false" ht="15" hidden="false" customHeight="false" outlineLevel="0" collapsed="false">
      <c r="A538" s="13" t="s">
        <v>237</v>
      </c>
      <c r="B538" s="13" t="n">
        <v>42</v>
      </c>
      <c r="C538" s="17" t="n">
        <f aca="false">B538/100*Notas!$B$3</f>
        <v>39.9</v>
      </c>
      <c r="D538" s="17" t="n">
        <f aca="false">38.34/95*Notas!$B$3</f>
        <v>38.34</v>
      </c>
      <c r="E538" s="17" t="n">
        <f aca="false">13.54/95*Notas!$B$3</f>
        <v>13.54</v>
      </c>
      <c r="F538" s="13" t="n">
        <v>3</v>
      </c>
      <c r="G538" s="17" t="n">
        <f aca="false">18.5/95*Notas!$B$3</f>
        <v>18.5</v>
      </c>
      <c r="H538" s="17" t="n">
        <f aca="false">13.54/95*Notas!$B$3</f>
        <v>13.54</v>
      </c>
      <c r="I538" s="17" t="n">
        <f aca="false">52.79/95*Notas!$B$3</f>
        <v>52.79</v>
      </c>
      <c r="J538" s="17" t="n">
        <f aca="false">109.86/95*Notas!$B$3</f>
        <v>109.86</v>
      </c>
    </row>
    <row r="539" customFormat="false" ht="15" hidden="false" customHeight="false" outlineLevel="0" collapsed="false">
      <c r="A539" s="13" t="s">
        <v>237</v>
      </c>
      <c r="B539" s="13" t="n">
        <v>43</v>
      </c>
      <c r="C539" s="17" t="n">
        <f aca="false">B539/100*Notas!$B$3</f>
        <v>40.85</v>
      </c>
      <c r="D539" s="17" t="n">
        <f aca="false">37.68/95*Notas!$B$3</f>
        <v>37.68</v>
      </c>
      <c r="E539" s="17" t="n">
        <f aca="false">13.69/95*Notas!$B$3</f>
        <v>13.69</v>
      </c>
      <c r="F539" s="13" t="n">
        <v>2</v>
      </c>
      <c r="G539" s="17" t="n">
        <f aca="false">28.6/95*Notas!$B$3</f>
        <v>28.6</v>
      </c>
      <c r="H539" s="17" t="n">
        <f aca="false">13.69/95*Notas!$B$3</f>
        <v>13.69</v>
      </c>
      <c r="I539" s="17" t="n">
        <f aca="false">81.88/95*Notas!$B$3</f>
        <v>81.88</v>
      </c>
      <c r="J539" s="17" t="n">
        <f aca="false">109.89/95*Notas!$B$3</f>
        <v>109.89</v>
      </c>
    </row>
    <row r="540" customFormat="false" ht="15" hidden="false" customHeight="false" outlineLevel="0" collapsed="false">
      <c r="A540" s="13" t="s">
        <v>237</v>
      </c>
      <c r="B540" s="13" t="n">
        <v>44</v>
      </c>
      <c r="C540" s="17" t="n">
        <f aca="false">B540/100*Notas!$B$3</f>
        <v>41.8</v>
      </c>
      <c r="D540" s="17" t="n">
        <f aca="false">36.2/95*Notas!$B$3</f>
        <v>36.2</v>
      </c>
      <c r="E540" s="17" t="n">
        <f aca="false">13.88/95*Notas!$B$3</f>
        <v>13.88</v>
      </c>
      <c r="F540" s="13" t="n">
        <v>1</v>
      </c>
      <c r="G540" s="17" t="n">
        <f aca="false">36.2/95*Notas!$B$3</f>
        <v>36.2</v>
      </c>
      <c r="H540" s="17" t="n">
        <f aca="false">13.88/95*Notas!$B$3</f>
        <v>13.88</v>
      </c>
      <c r="I540" s="17" t="n">
        <f aca="false">98.93/95*Notas!$B$3</f>
        <v>98.93</v>
      </c>
      <c r="J540" s="17" t="n">
        <f aca="false">98.93/95*Notas!$B$3</f>
        <v>98.93</v>
      </c>
    </row>
    <row r="541" customFormat="false" ht="15" hidden="false" customHeight="false" outlineLevel="0" collapsed="false">
      <c r="A541" s="13" t="s">
        <v>237</v>
      </c>
      <c r="B541" s="13" t="n">
        <v>45</v>
      </c>
      <c r="C541" s="17" t="n">
        <f aca="false">B541/100*Notas!$B$3</f>
        <v>42.75</v>
      </c>
      <c r="D541" s="17" t="n">
        <f aca="false">35.05/95*Notas!$B$3</f>
        <v>35.05</v>
      </c>
      <c r="E541" s="17" t="n">
        <f aca="false">14.1/95*Notas!$B$3</f>
        <v>14.1</v>
      </c>
      <c r="F541" s="13" t="n">
        <v>1</v>
      </c>
      <c r="G541" s="17" t="n">
        <f aca="false">35.05/95*Notas!$B$3</f>
        <v>35.05</v>
      </c>
      <c r="H541" s="17" t="n">
        <f aca="false">14.1/95*Notas!$B$3</f>
        <v>14.1</v>
      </c>
      <c r="I541" s="17" t="n">
        <f aca="false">91.8/95*Notas!$B$3</f>
        <v>91.8</v>
      </c>
      <c r="J541" s="17" t="n">
        <f aca="false">91.8/95*Notas!$B$3</f>
        <v>91.8</v>
      </c>
    </row>
    <row r="542" customFormat="false" ht="15" hidden="false" customHeight="false" outlineLevel="0" collapsed="false">
      <c r="A542" s="13" t="s">
        <v>237</v>
      </c>
      <c r="B542" s="13" t="n">
        <v>46</v>
      </c>
      <c r="C542" s="17" t="n">
        <f aca="false">B542/100*Notas!$B$3</f>
        <v>43.7</v>
      </c>
      <c r="D542" s="17" t="n">
        <f aca="false">34.15/95*Notas!$B$3</f>
        <v>34.15</v>
      </c>
      <c r="E542" s="17" t="n">
        <f aca="false">14.32/95*Notas!$B$3</f>
        <v>14.32</v>
      </c>
      <c r="F542" s="13" t="n">
        <v>1</v>
      </c>
      <c r="G542" s="17" t="n">
        <f aca="false">34.15/95*Notas!$B$3</f>
        <v>34.15</v>
      </c>
      <c r="H542" s="17" t="n">
        <f aca="false">14.32/95*Notas!$B$3</f>
        <v>14.32</v>
      </c>
      <c r="I542" s="17" t="n">
        <f aca="false">86.59/95*Notas!$B$3</f>
        <v>86.59</v>
      </c>
      <c r="J542" s="17" t="n">
        <f aca="false">86.59/95*Notas!$B$3</f>
        <v>86.59</v>
      </c>
    </row>
    <row r="543" customFormat="false" ht="15" hidden="false" customHeight="false" outlineLevel="0" collapsed="false">
      <c r="A543" s="13" t="s">
        <v>237</v>
      </c>
      <c r="B543" s="13" t="n">
        <v>47</v>
      </c>
      <c r="C543" s="17" t="n">
        <f aca="false">B543/100*Notas!$B$3</f>
        <v>44.65</v>
      </c>
      <c r="D543" s="17" t="n">
        <f aca="false">33.25/95*Notas!$B$3</f>
        <v>33.25</v>
      </c>
      <c r="E543" s="17" t="n">
        <f aca="false">14.46/95*Notas!$B$3</f>
        <v>14.46</v>
      </c>
      <c r="F543" s="13" t="n">
        <v>1</v>
      </c>
      <c r="G543" s="17" t="n">
        <f aca="false">33.25/95*Notas!$B$3</f>
        <v>33.25</v>
      </c>
      <c r="H543" s="17" t="n">
        <f aca="false">14.46/95*Notas!$B$3</f>
        <v>14.46</v>
      </c>
      <c r="I543" s="17" t="n">
        <f aca="false">81.58/95*Notas!$B$3</f>
        <v>81.58</v>
      </c>
      <c r="J543" s="17" t="n">
        <f aca="false">81.58/95*Notas!$B$3</f>
        <v>81.58</v>
      </c>
    </row>
    <row r="544" customFormat="false" ht="15" hidden="false" customHeight="false" outlineLevel="0" collapsed="false">
      <c r="A544" s="13" t="s">
        <v>237</v>
      </c>
      <c r="B544" s="13" t="n">
        <v>48</v>
      </c>
      <c r="C544" s="17" t="n">
        <f aca="false">B544/100*Notas!$B$3</f>
        <v>45.6</v>
      </c>
      <c r="D544" s="17" t="n">
        <f aca="false">32.36/95*Notas!$B$3</f>
        <v>32.36</v>
      </c>
      <c r="E544" s="17" t="n">
        <f aca="false">14.41/95*Notas!$B$3</f>
        <v>14.41</v>
      </c>
      <c r="F544" s="13" t="n">
        <v>1</v>
      </c>
      <c r="G544" s="17" t="n">
        <f aca="false">32.36/95*Notas!$B$3</f>
        <v>32.36</v>
      </c>
      <c r="H544" s="17" t="n">
        <f aca="false">14.41/95*Notas!$B$3</f>
        <v>14.41</v>
      </c>
      <c r="I544" s="17" t="n">
        <f aca="false">78.07/95*Notas!$B$3</f>
        <v>78.07</v>
      </c>
      <c r="J544" s="17" t="n">
        <f aca="false">78.07/95*Notas!$B$3</f>
        <v>78.07</v>
      </c>
    </row>
    <row r="545" customFormat="false" ht="15" hidden="false" customHeight="false" outlineLevel="0" collapsed="false">
      <c r="A545" s="13" t="s">
        <v>237</v>
      </c>
      <c r="B545" s="13" t="n">
        <v>49</v>
      </c>
      <c r="C545" s="17" t="n">
        <f aca="false">B545/100*Notas!$B$3</f>
        <v>46.55</v>
      </c>
      <c r="D545" s="17" t="n">
        <f aca="false">31.37/95*Notas!$B$3</f>
        <v>31.37</v>
      </c>
      <c r="E545" s="17" t="n">
        <f aca="false">14.36/95*Notas!$B$3</f>
        <v>14.36</v>
      </c>
      <c r="F545" s="13" t="n">
        <v>1</v>
      </c>
      <c r="G545" s="17" t="n">
        <f aca="false">31.37/95*Notas!$B$3</f>
        <v>31.37</v>
      </c>
      <c r="H545" s="17" t="n">
        <f aca="false">14.36/95*Notas!$B$3</f>
        <v>14.36</v>
      </c>
      <c r="I545" s="17" t="n">
        <f aca="false">75.34/95*Notas!$B$3</f>
        <v>75.34</v>
      </c>
      <c r="J545" s="17" t="n">
        <f aca="false">75.34/95*Notas!$B$3</f>
        <v>75.34</v>
      </c>
    </row>
    <row r="546" customFormat="false" ht="15" hidden="false" customHeight="false" outlineLevel="0" collapsed="false">
      <c r="A546" s="13" t="s">
        <v>237</v>
      </c>
      <c r="B546" s="13" t="n">
        <v>50</v>
      </c>
      <c r="C546" s="17" t="n">
        <f aca="false">B546/100*Notas!$B$3</f>
        <v>47.5</v>
      </c>
      <c r="D546" s="17" t="n">
        <f aca="false">30.37/95*Notas!$B$3</f>
        <v>30.37</v>
      </c>
      <c r="E546" s="17" t="n">
        <f aca="false">14.19/95*Notas!$B$3</f>
        <v>14.19</v>
      </c>
      <c r="F546" s="13" t="n">
        <v>1</v>
      </c>
      <c r="G546" s="17" t="n">
        <f aca="false">30.37/95*Notas!$B$3</f>
        <v>30.37</v>
      </c>
      <c r="H546" s="17" t="n">
        <f aca="false">14.19/95*Notas!$B$3</f>
        <v>14.19</v>
      </c>
      <c r="I546" s="17" t="n">
        <f aca="false">72.73/95*Notas!$B$3</f>
        <v>72.73</v>
      </c>
      <c r="J546" s="17" t="n">
        <f aca="false">72.73/95*Notas!$B$3</f>
        <v>72.73</v>
      </c>
    </row>
    <row r="547" customFormat="false" ht="15" hidden="false" customHeight="false" outlineLevel="0" collapsed="false">
      <c r="A547" s="13" t="s">
        <v>237</v>
      </c>
      <c r="B547" s="13" t="n">
        <v>51</v>
      </c>
      <c r="C547" s="17" t="n">
        <f aca="false">B547/100*Notas!$B$3</f>
        <v>48.45</v>
      </c>
      <c r="D547" s="17" t="n">
        <f aca="false">29.19/95*Notas!$B$3</f>
        <v>29.19</v>
      </c>
      <c r="E547" s="17" t="n">
        <f aca="false">13.7/95*Notas!$B$3</f>
        <v>13.7</v>
      </c>
      <c r="F547" s="13" t="n">
        <v>1</v>
      </c>
      <c r="G547" s="17" t="n">
        <f aca="false">29.19/95*Notas!$B$3</f>
        <v>29.19</v>
      </c>
      <c r="H547" s="17" t="n">
        <f aca="false">13.7/95*Notas!$B$3</f>
        <v>13.7</v>
      </c>
      <c r="I547" s="17" t="n">
        <f aca="false">69.71/95*Notas!$B$3</f>
        <v>69.71</v>
      </c>
      <c r="J547" s="17" t="n">
        <f aca="false">69.71/95*Notas!$B$3</f>
        <v>69.71</v>
      </c>
    </row>
    <row r="548" customFormat="false" ht="15" hidden="false" customHeight="false" outlineLevel="0" collapsed="false">
      <c r="A548" s="13" t="s">
        <v>237</v>
      </c>
      <c r="B548" s="13" t="n">
        <v>52</v>
      </c>
      <c r="C548" s="17" t="n">
        <f aca="false">B548/100*Notas!$B$3</f>
        <v>49.4</v>
      </c>
      <c r="D548" s="17" t="n">
        <f aca="false">27.94/95*Notas!$B$3</f>
        <v>27.94</v>
      </c>
      <c r="E548" s="17" t="n">
        <f aca="false">13.03/95*Notas!$B$3</f>
        <v>13.03</v>
      </c>
      <c r="F548" s="13" t="n">
        <v>1</v>
      </c>
      <c r="G548" s="17" t="n">
        <f aca="false">27.94/95*Notas!$B$3</f>
        <v>27.94</v>
      </c>
      <c r="H548" s="17" t="n">
        <f aca="false">13.03/95*Notas!$B$3</f>
        <v>13.03</v>
      </c>
      <c r="I548" s="17" t="n">
        <f aca="false">66.32/95*Notas!$B$3</f>
        <v>66.32</v>
      </c>
      <c r="J548" s="17" t="n">
        <f aca="false">66.32/95*Notas!$B$3</f>
        <v>66.32</v>
      </c>
    </row>
    <row r="549" customFormat="false" ht="15" hidden="false" customHeight="false" outlineLevel="0" collapsed="false">
      <c r="A549" s="13" t="s">
        <v>237</v>
      </c>
      <c r="B549" s="13" t="n">
        <v>53</v>
      </c>
      <c r="C549" s="17" t="n">
        <f aca="false">B549/100*Notas!$B$3</f>
        <v>50.35</v>
      </c>
      <c r="D549" s="17" t="n">
        <f aca="false">25.7/95*Notas!$B$3</f>
        <v>25.7</v>
      </c>
      <c r="E549" s="17" t="n">
        <f aca="false">16.37/95*Notas!$B$3</f>
        <v>16.37</v>
      </c>
      <c r="F549" s="13" t="n">
        <v>2</v>
      </c>
      <c r="G549" s="17" t="n">
        <f aca="false">25.7/95*Notas!$B$3</f>
        <v>25.7</v>
      </c>
      <c r="H549" s="17" t="n">
        <f aca="false">12.14/95*Notas!$B$3</f>
        <v>12.14</v>
      </c>
      <c r="I549" s="17" t="n">
        <f aca="false">60.87/95*Notas!$B$3</f>
        <v>60.87</v>
      </c>
      <c r="J549" s="17" t="n">
        <f aca="false">63.61/95*Notas!$B$3</f>
        <v>63.61</v>
      </c>
    </row>
    <row r="550" customFormat="false" ht="15" hidden="false" customHeight="false" outlineLevel="0" collapsed="false">
      <c r="A550" s="13" t="s">
        <v>237</v>
      </c>
      <c r="B550" s="13" t="n">
        <v>54</v>
      </c>
      <c r="C550" s="17" t="n">
        <f aca="false">B550/100*Notas!$B$3</f>
        <v>51.3</v>
      </c>
      <c r="D550" s="17" t="n">
        <f aca="false">20.27/95*Notas!$B$3</f>
        <v>20.27</v>
      </c>
      <c r="E550" s="17" t="n">
        <f aca="false">16.67/95*Notas!$B$3</f>
        <v>16.67</v>
      </c>
      <c r="F550" s="13" t="n">
        <v>2</v>
      </c>
      <c r="G550" s="17" t="n">
        <f aca="false">20.27/95*Notas!$B$3</f>
        <v>20.27</v>
      </c>
      <c r="H550" s="17" t="n">
        <f aca="false">11.23/95*Notas!$B$3</f>
        <v>11.23</v>
      </c>
      <c r="I550" s="17" t="n">
        <f aca="false">50.15/95*Notas!$B$3</f>
        <v>50.15</v>
      </c>
      <c r="J550" s="17" t="n">
        <f aca="false">56.61/95*Notas!$B$3</f>
        <v>56.61</v>
      </c>
    </row>
    <row r="551" customFormat="false" ht="15" hidden="false" customHeight="false" outlineLevel="0" collapsed="false">
      <c r="A551" s="13" t="s">
        <v>237</v>
      </c>
      <c r="B551" s="13" t="n">
        <v>55</v>
      </c>
      <c r="C551" s="17" t="n">
        <f aca="false">B551/100*Notas!$B$3</f>
        <v>52.25</v>
      </c>
      <c r="D551" s="17" t="n">
        <f aca="false">14.89/95*Notas!$B$3</f>
        <v>14.89</v>
      </c>
      <c r="E551" s="17" t="n">
        <f aca="false">17.09/95*Notas!$B$3</f>
        <v>17.09</v>
      </c>
      <c r="F551" s="13" t="n">
        <v>4</v>
      </c>
      <c r="G551" s="17" t="n">
        <f aca="false">14.43/95*Notas!$B$3</f>
        <v>14.43</v>
      </c>
      <c r="H551" s="17" t="n">
        <f aca="false">11.26/95*Notas!$B$3</f>
        <v>11.26</v>
      </c>
      <c r="I551" s="17" t="n">
        <f aca="false">40.05/95*Notas!$B$3</f>
        <v>40.05</v>
      </c>
      <c r="J551" s="17" t="n">
        <f aca="false">60.34/95*Notas!$B$3</f>
        <v>60.34</v>
      </c>
    </row>
    <row r="552" customFormat="false" ht="15" hidden="false" customHeight="false" outlineLevel="0" collapsed="false">
      <c r="A552" s="13" t="s">
        <v>237</v>
      </c>
      <c r="B552" s="13" t="n">
        <v>56</v>
      </c>
      <c r="C552" s="17" t="n">
        <f aca="false">B552/100*Notas!$B$3</f>
        <v>53.2</v>
      </c>
      <c r="D552" s="17" t="n">
        <f aca="false">21.95/95*Notas!$B$3</f>
        <v>21.95</v>
      </c>
      <c r="E552" s="17" t="n">
        <f aca="false">17.41/95*Notas!$B$3</f>
        <v>17.41</v>
      </c>
      <c r="F552" s="13" t="n">
        <v>3</v>
      </c>
      <c r="G552" s="17" t="n">
        <f aca="false">10.82/95*Notas!$B$3</f>
        <v>10.82</v>
      </c>
      <c r="H552" s="17" t="n">
        <f aca="false">17.41/95*Notas!$B$3</f>
        <v>17.41</v>
      </c>
      <c r="I552" s="17" t="n">
        <f aca="false">50.02/95*Notas!$B$3</f>
        <v>50.02</v>
      </c>
      <c r="J552" s="17" t="n">
        <f aca="false">91.48/95*Notas!$B$3</f>
        <v>91.48</v>
      </c>
    </row>
    <row r="553" customFormat="false" ht="15" hidden="false" customHeight="false" outlineLevel="0" collapsed="false">
      <c r="A553" s="13" t="s">
        <v>237</v>
      </c>
      <c r="B553" s="13" t="n">
        <v>57</v>
      </c>
      <c r="C553" s="17" t="n">
        <f aca="false">B553/100*Notas!$B$3</f>
        <v>54.15</v>
      </c>
      <c r="D553" s="17" t="n">
        <f aca="false">23.86/95*Notas!$B$3</f>
        <v>23.86</v>
      </c>
      <c r="E553" s="17" t="n">
        <f aca="false">18.76/95*Notas!$B$3</f>
        <v>18.76</v>
      </c>
      <c r="F553" s="13" t="n">
        <v>2</v>
      </c>
      <c r="G553" s="17" t="n">
        <f aca="false">23.86/95*Notas!$B$3</f>
        <v>23.86</v>
      </c>
      <c r="H553" s="17" t="n">
        <f aca="false">17.73/95*Notas!$B$3</f>
        <v>17.73</v>
      </c>
      <c r="I553" s="17" t="n">
        <f aca="false">88.56/95*Notas!$B$3</f>
        <v>88.56</v>
      </c>
      <c r="J553" s="17" t="n">
        <f aca="false">89.84/95*Notas!$B$3</f>
        <v>89.84</v>
      </c>
    </row>
    <row r="554" customFormat="false" ht="15" hidden="false" customHeight="false" outlineLevel="0" collapsed="false">
      <c r="A554" s="13" t="s">
        <v>237</v>
      </c>
      <c r="B554" s="13" t="n">
        <v>58</v>
      </c>
      <c r="C554" s="17" t="n">
        <f aca="false">B554/100*Notas!$B$3</f>
        <v>55.1</v>
      </c>
      <c r="D554" s="17" t="n">
        <f aca="false">25.03/95*Notas!$B$3</f>
        <v>25.03</v>
      </c>
      <c r="E554" s="17" t="n">
        <f aca="false">22.79/95*Notas!$B$3</f>
        <v>22.79</v>
      </c>
      <c r="F554" s="13" t="n">
        <v>1</v>
      </c>
      <c r="G554" s="17" t="n">
        <f aca="false">25.03/95*Notas!$B$3</f>
        <v>25.03</v>
      </c>
      <c r="H554" s="17" t="n">
        <f aca="false">22.79/95*Notas!$B$3</f>
        <v>22.79</v>
      </c>
      <c r="I554" s="17" t="n">
        <f aca="false">89.08/95*Notas!$B$3</f>
        <v>89.08</v>
      </c>
      <c r="J554" s="17" t="n">
        <f aca="false">89.08/95*Notas!$B$3</f>
        <v>89.08</v>
      </c>
    </row>
    <row r="555" customFormat="false" ht="15" hidden="false" customHeight="false" outlineLevel="0" collapsed="false">
      <c r="A555" s="13" t="s">
        <v>237</v>
      </c>
      <c r="B555" s="13" t="n">
        <v>59</v>
      </c>
      <c r="C555" s="17" t="n">
        <f aca="false">B555/100*Notas!$B$3</f>
        <v>56.05</v>
      </c>
      <c r="D555" s="17" t="n">
        <f aca="false">38.1/95*Notas!$B$3</f>
        <v>38.1</v>
      </c>
      <c r="E555" s="17" t="n">
        <f aca="false">28.75/95*Notas!$B$3</f>
        <v>28.75</v>
      </c>
      <c r="F555" s="13" t="n">
        <v>2</v>
      </c>
      <c r="G555" s="17" t="n">
        <f aca="false">38.1/95*Notas!$B$3</f>
        <v>38.1</v>
      </c>
      <c r="H555" s="17" t="n">
        <f aca="false">24.61/95*Notas!$B$3</f>
        <v>24.61</v>
      </c>
      <c r="I555" s="17" t="n">
        <f aca="false">117.05/95*Notas!$B$3</f>
        <v>117.05</v>
      </c>
      <c r="J555" s="17" t="n">
        <f aca="false">124.24/95*Notas!$B$3</f>
        <v>124.24</v>
      </c>
    </row>
    <row r="556" customFormat="false" ht="15" hidden="false" customHeight="false" outlineLevel="0" collapsed="false">
      <c r="A556" s="13" t="s">
        <v>237</v>
      </c>
      <c r="B556" s="13" t="n">
        <v>60</v>
      </c>
      <c r="C556" s="17" t="n">
        <f aca="false">B556/100*Notas!$B$3</f>
        <v>57</v>
      </c>
      <c r="D556" s="17" t="n">
        <f aca="false">39.08/95*Notas!$B$3</f>
        <v>39.08</v>
      </c>
      <c r="E556" s="17" t="n">
        <f aca="false">29.56/95*Notas!$B$3</f>
        <v>29.56</v>
      </c>
      <c r="F556" s="13" t="n">
        <v>1</v>
      </c>
      <c r="G556" s="17" t="n">
        <f aca="false">39.08/95*Notas!$B$3</f>
        <v>39.08</v>
      </c>
      <c r="H556" s="17" t="n">
        <f aca="false">29.56/95*Notas!$B$3</f>
        <v>29.56</v>
      </c>
      <c r="I556" s="17" t="n">
        <f aca="false">127.36/95*Notas!$B$3</f>
        <v>127.36</v>
      </c>
      <c r="J556" s="17" t="n">
        <f aca="false">127.36/95*Notas!$B$3</f>
        <v>127.36</v>
      </c>
    </row>
    <row r="557" customFormat="false" ht="15" hidden="false" customHeight="false" outlineLevel="0" collapsed="false">
      <c r="A557" s="13" t="s">
        <v>237</v>
      </c>
      <c r="B557" s="13" t="n">
        <v>61</v>
      </c>
      <c r="C557" s="17" t="n">
        <f aca="false">B557/100*Notas!$B$3</f>
        <v>57.95</v>
      </c>
      <c r="D557" s="17" t="n">
        <f aca="false">39.62/95*Notas!$B$3</f>
        <v>39.62</v>
      </c>
      <c r="E557" s="17" t="n">
        <f aca="false">30.19/95*Notas!$B$3</f>
        <v>30.19</v>
      </c>
      <c r="F557" s="13" t="n">
        <v>1</v>
      </c>
      <c r="G557" s="17" t="n">
        <f aca="false">39.62/95*Notas!$B$3</f>
        <v>39.62</v>
      </c>
      <c r="H557" s="17" t="n">
        <f aca="false">30.19/95*Notas!$B$3</f>
        <v>30.19</v>
      </c>
      <c r="I557" s="17" t="n">
        <f aca="false">122.06/95*Notas!$B$3</f>
        <v>122.06</v>
      </c>
      <c r="J557" s="17" t="n">
        <f aca="false">122.06/95*Notas!$B$3</f>
        <v>122.06</v>
      </c>
    </row>
    <row r="558" customFormat="false" ht="15" hidden="false" customHeight="false" outlineLevel="0" collapsed="false">
      <c r="A558" s="13" t="s">
        <v>237</v>
      </c>
      <c r="B558" s="13" t="n">
        <v>62</v>
      </c>
      <c r="C558" s="17" t="n">
        <f aca="false">B558/100*Notas!$B$3</f>
        <v>58.9</v>
      </c>
      <c r="D558" s="17" t="n">
        <f aca="false">39.98/95*Notas!$B$3</f>
        <v>39.98</v>
      </c>
      <c r="E558" s="17" t="n">
        <f aca="false">30.83/95*Notas!$B$3</f>
        <v>30.83</v>
      </c>
      <c r="F558" s="13" t="n">
        <v>2</v>
      </c>
      <c r="G558" s="17" t="n">
        <f aca="false">39.98/95*Notas!$B$3</f>
        <v>39.98</v>
      </c>
      <c r="H558" s="17" t="n">
        <f aca="false">30.83/95*Notas!$B$3</f>
        <v>30.83</v>
      </c>
      <c r="I558" s="17" t="n">
        <f aca="false">119.23/95*Notas!$B$3</f>
        <v>119.23</v>
      </c>
      <c r="J558" s="17" t="n">
        <f aca="false">122.02/95*Notas!$B$3</f>
        <v>122.02</v>
      </c>
    </row>
    <row r="559" customFormat="false" ht="15" hidden="false" customHeight="false" outlineLevel="0" collapsed="false">
      <c r="A559" s="13" t="s">
        <v>237</v>
      </c>
      <c r="B559" s="13" t="n">
        <v>63</v>
      </c>
      <c r="C559" s="17" t="n">
        <f aca="false">B559/100*Notas!$B$3</f>
        <v>59.85</v>
      </c>
      <c r="D559" s="17" t="n">
        <f aca="false">40.05/95*Notas!$B$3</f>
        <v>40.05</v>
      </c>
      <c r="E559" s="17" t="n">
        <f aca="false">31.4/95*Notas!$B$3</f>
        <v>31.4</v>
      </c>
      <c r="F559" s="13" t="n">
        <v>2</v>
      </c>
      <c r="G559" s="17" t="n">
        <f aca="false">40.05/95*Notas!$B$3</f>
        <v>40.05</v>
      </c>
      <c r="H559" s="17" t="n">
        <f aca="false">31.4/95*Notas!$B$3</f>
        <v>31.4</v>
      </c>
      <c r="I559" s="17" t="n">
        <f aca="false">119.04/95*Notas!$B$3</f>
        <v>119.04</v>
      </c>
      <c r="J559" s="17" t="n">
        <f aca="false">127.52/95*Notas!$B$3</f>
        <v>127.52</v>
      </c>
    </row>
    <row r="560" customFormat="false" ht="15" hidden="false" customHeight="false" outlineLevel="0" collapsed="false">
      <c r="A560" s="13" t="s">
        <v>237</v>
      </c>
      <c r="B560" s="13" t="n">
        <v>64</v>
      </c>
      <c r="C560" s="17" t="n">
        <f aca="false">B560/100*Notas!$B$3</f>
        <v>60.8</v>
      </c>
      <c r="D560" s="17" t="n">
        <f aca="false">40.12/95*Notas!$B$3</f>
        <v>40.12</v>
      </c>
      <c r="E560" s="17" t="n">
        <f aca="false">32/95*Notas!$B$3</f>
        <v>32</v>
      </c>
      <c r="F560" s="13" t="n">
        <v>1</v>
      </c>
      <c r="G560" s="17" t="n">
        <f aca="false">40.12/95*Notas!$B$3</f>
        <v>40.12</v>
      </c>
      <c r="H560" s="17" t="n">
        <f aca="false">32/95*Notas!$B$3</f>
        <v>32</v>
      </c>
      <c r="I560" s="17" t="n">
        <f aca="false">129.15/95*Notas!$B$3</f>
        <v>129.15</v>
      </c>
      <c r="J560" s="17" t="n">
        <f aca="false">129.15/95*Notas!$B$3</f>
        <v>129.15</v>
      </c>
    </row>
    <row r="561" customFormat="false" ht="15" hidden="false" customHeight="false" outlineLevel="0" collapsed="false">
      <c r="A561" s="13" t="s">
        <v>237</v>
      </c>
      <c r="B561" s="13" t="n">
        <v>65</v>
      </c>
      <c r="C561" s="17" t="n">
        <f aca="false">B561/100*Notas!$B$3</f>
        <v>61.75</v>
      </c>
      <c r="D561" s="17" t="n">
        <f aca="false">40.19/95*Notas!$B$3</f>
        <v>40.19</v>
      </c>
      <c r="E561" s="17" t="n">
        <f aca="false">32.6/95*Notas!$B$3</f>
        <v>32.6</v>
      </c>
      <c r="F561" s="13" t="n">
        <v>2</v>
      </c>
      <c r="G561" s="17" t="n">
        <f aca="false">40.19/95*Notas!$B$3</f>
        <v>40.19</v>
      </c>
      <c r="H561" s="17" t="n">
        <f aca="false">32.6/95*Notas!$B$3</f>
        <v>32.6</v>
      </c>
      <c r="I561" s="17" t="n">
        <f aca="false">131.36/95*Notas!$B$3</f>
        <v>131.36</v>
      </c>
      <c r="J561" s="17" t="n">
        <f aca="false">134.3/95*Notas!$B$3</f>
        <v>134.3</v>
      </c>
    </row>
    <row r="562" customFormat="false" ht="15" hidden="false" customHeight="false" outlineLevel="0" collapsed="false">
      <c r="A562" s="13" t="s">
        <v>237</v>
      </c>
      <c r="B562" s="13" t="n">
        <v>66</v>
      </c>
      <c r="C562" s="17" t="n">
        <f aca="false">B562/100*Notas!$B$3</f>
        <v>62.7</v>
      </c>
      <c r="D562" s="17" t="n">
        <f aca="false">40.1/95*Notas!$B$3</f>
        <v>40.1</v>
      </c>
      <c r="E562" s="17" t="n">
        <f aca="false">34.28/95*Notas!$B$3</f>
        <v>34.28</v>
      </c>
      <c r="F562" s="13" t="n">
        <v>2</v>
      </c>
      <c r="G562" s="17" t="n">
        <f aca="false">40.1/95*Notas!$B$3</f>
        <v>40.1</v>
      </c>
      <c r="H562" s="17" t="n">
        <f aca="false">34.28/95*Notas!$B$3</f>
        <v>34.28</v>
      </c>
      <c r="I562" s="17" t="n">
        <f aca="false">133.23/95*Notas!$B$3</f>
        <v>133.23</v>
      </c>
      <c r="J562" s="17" t="n">
        <f aca="false">139.86/95*Notas!$B$3</f>
        <v>139.86</v>
      </c>
    </row>
    <row r="563" customFormat="false" ht="15" hidden="false" customHeight="false" outlineLevel="0" collapsed="false">
      <c r="A563" s="13" t="s">
        <v>237</v>
      </c>
      <c r="B563" s="13" t="n">
        <v>67</v>
      </c>
      <c r="C563" s="17" t="n">
        <f aca="false">B563/100*Notas!$B$3</f>
        <v>63.65</v>
      </c>
      <c r="D563" s="17" t="n">
        <f aca="false">39.71/95*Notas!$B$3</f>
        <v>39.71</v>
      </c>
      <c r="E563" s="17" t="n">
        <f aca="false">35.04/95*Notas!$B$3</f>
        <v>35.04</v>
      </c>
      <c r="F563" s="13" t="n">
        <v>3</v>
      </c>
      <c r="G563" s="17" t="n">
        <f aca="false">39.71/95*Notas!$B$3</f>
        <v>39.71</v>
      </c>
      <c r="H563" s="17" t="n">
        <f aca="false">35.04/95*Notas!$B$3</f>
        <v>35.04</v>
      </c>
      <c r="I563" s="17" t="n">
        <f aca="false">132.43/95*Notas!$B$3</f>
        <v>132.43</v>
      </c>
      <c r="J563" s="17" t="n">
        <f aca="false">148.45/95*Notas!$B$3</f>
        <v>148.45</v>
      </c>
    </row>
    <row r="564" customFormat="false" ht="15" hidden="false" customHeight="false" outlineLevel="0" collapsed="false">
      <c r="A564" s="13" t="s">
        <v>237</v>
      </c>
      <c r="B564" s="13" t="n">
        <v>68</v>
      </c>
      <c r="C564" s="17" t="n">
        <f aca="false">B564/100*Notas!$B$3</f>
        <v>64.6</v>
      </c>
      <c r="D564" s="17" t="n">
        <f aca="false">38.21/95*Notas!$B$3</f>
        <v>38.21</v>
      </c>
      <c r="E564" s="17" t="n">
        <f aca="false">34.93/95*Notas!$B$3</f>
        <v>34.93</v>
      </c>
      <c r="F564" s="13" t="n">
        <v>2</v>
      </c>
      <c r="G564" s="17" t="n">
        <f aca="false">38.21/95*Notas!$B$3</f>
        <v>38.21</v>
      </c>
      <c r="H564" s="17" t="n">
        <f aca="false">34.93/95*Notas!$B$3</f>
        <v>34.93</v>
      </c>
      <c r="I564" s="17" t="n">
        <f aca="false">138/95*Notas!$B$3</f>
        <v>138</v>
      </c>
      <c r="J564" s="17" t="n">
        <f aca="false">147.86/95*Notas!$B$3</f>
        <v>147.86</v>
      </c>
    </row>
    <row r="565" customFormat="false" ht="15" hidden="false" customHeight="false" outlineLevel="0" collapsed="false">
      <c r="A565" s="13" t="s">
        <v>237</v>
      </c>
      <c r="B565" s="13" t="n">
        <v>69</v>
      </c>
      <c r="C565" s="17" t="n">
        <f aca="false">B565/100*Notas!$B$3</f>
        <v>65.55</v>
      </c>
      <c r="D565" s="17" t="n">
        <f aca="false">39.9/95*Notas!$B$3</f>
        <v>39.9</v>
      </c>
      <c r="E565" s="17" t="n">
        <f aca="false">34.71/95*Notas!$B$3</f>
        <v>34.71</v>
      </c>
      <c r="F565" s="13" t="n">
        <v>1</v>
      </c>
      <c r="G565" s="17" t="n">
        <f aca="false">39.9/95*Notas!$B$3</f>
        <v>39.9</v>
      </c>
      <c r="H565" s="17" t="n">
        <f aca="false">34.71/95*Notas!$B$3</f>
        <v>34.71</v>
      </c>
      <c r="I565" s="17" t="n">
        <f aca="false">148.69/95*Notas!$B$3</f>
        <v>148.69</v>
      </c>
      <c r="J565" s="17" t="n">
        <f aca="false">148.69/95*Notas!$B$3</f>
        <v>148.69</v>
      </c>
    </row>
    <row r="566" customFormat="false" ht="15" hidden="false" customHeight="false" outlineLevel="0" collapsed="false">
      <c r="A566" s="13" t="s">
        <v>237</v>
      </c>
      <c r="B566" s="13" t="n">
        <v>70</v>
      </c>
      <c r="C566" s="17" t="n">
        <f aca="false">B566/100*Notas!$B$3</f>
        <v>66.5</v>
      </c>
      <c r="D566" s="17" t="n">
        <f aca="false">41.25/95*Notas!$B$3</f>
        <v>41.25</v>
      </c>
      <c r="E566" s="17" t="n">
        <f aca="false">34.94/95*Notas!$B$3</f>
        <v>34.94</v>
      </c>
      <c r="F566" s="13" t="n">
        <v>1</v>
      </c>
      <c r="G566" s="17" t="n">
        <f aca="false">41.25/95*Notas!$B$3</f>
        <v>41.25</v>
      </c>
      <c r="H566" s="17" t="n">
        <f aca="false">34.94/95*Notas!$B$3</f>
        <v>34.94</v>
      </c>
      <c r="I566" s="17" t="n">
        <f aca="false">146.23/95*Notas!$B$3</f>
        <v>146.23</v>
      </c>
      <c r="J566" s="17" t="n">
        <f aca="false">146.23/95*Notas!$B$3</f>
        <v>146.23</v>
      </c>
    </row>
    <row r="567" customFormat="false" ht="15" hidden="false" customHeight="false" outlineLevel="0" collapsed="false">
      <c r="A567" s="13" t="s">
        <v>237</v>
      </c>
      <c r="B567" s="13" t="n">
        <v>71</v>
      </c>
      <c r="C567" s="17" t="n">
        <f aca="false">B567/100*Notas!$B$3</f>
        <v>67.45</v>
      </c>
      <c r="D567" s="17" t="n">
        <f aca="false">42.08/95*Notas!$B$3</f>
        <v>42.08</v>
      </c>
      <c r="E567" s="17" t="n">
        <f aca="false">35.24/95*Notas!$B$3</f>
        <v>35.24</v>
      </c>
      <c r="F567" s="13" t="n">
        <v>1</v>
      </c>
      <c r="G567" s="17" t="n">
        <f aca="false">42.08/95*Notas!$B$3</f>
        <v>42.08</v>
      </c>
      <c r="H567" s="17" t="n">
        <f aca="false">35.24/95*Notas!$B$3</f>
        <v>35.24</v>
      </c>
      <c r="I567" s="17" t="n">
        <f aca="false">145.69/95*Notas!$B$3</f>
        <v>145.69</v>
      </c>
      <c r="J567" s="17" t="n">
        <f aca="false">145.69/95*Notas!$B$3</f>
        <v>145.69</v>
      </c>
    </row>
    <row r="568" customFormat="false" ht="15" hidden="false" customHeight="false" outlineLevel="0" collapsed="false">
      <c r="A568" s="13" t="s">
        <v>237</v>
      </c>
      <c r="B568" s="13" t="n">
        <v>72</v>
      </c>
      <c r="C568" s="17" t="n">
        <f aca="false">B568/100*Notas!$B$3</f>
        <v>68.4</v>
      </c>
      <c r="D568" s="17" t="n">
        <f aca="false">42.92/95*Notas!$B$3</f>
        <v>42.92</v>
      </c>
      <c r="E568" s="17" t="n">
        <f aca="false">35.56/95*Notas!$B$3</f>
        <v>35.56</v>
      </c>
      <c r="F568" s="13" t="n">
        <v>1</v>
      </c>
      <c r="G568" s="17" t="n">
        <f aca="false">42.92/95*Notas!$B$3</f>
        <v>42.92</v>
      </c>
      <c r="H568" s="17" t="n">
        <f aca="false">35.56/95*Notas!$B$3</f>
        <v>35.56</v>
      </c>
      <c r="I568" s="17" t="n">
        <f aca="false">146.62/95*Notas!$B$3</f>
        <v>146.62</v>
      </c>
      <c r="J568" s="17" t="n">
        <f aca="false">146.62/95*Notas!$B$3</f>
        <v>146.62</v>
      </c>
    </row>
    <row r="569" customFormat="false" ht="15" hidden="false" customHeight="false" outlineLevel="0" collapsed="false">
      <c r="A569" s="13" t="s">
        <v>237</v>
      </c>
      <c r="B569" s="13" t="n">
        <v>73</v>
      </c>
      <c r="C569" s="17" t="n">
        <f aca="false">B569/100*Notas!$B$3</f>
        <v>69.35</v>
      </c>
      <c r="D569" s="17" t="n">
        <f aca="false">43.63/95*Notas!$B$3</f>
        <v>43.63</v>
      </c>
      <c r="E569" s="17" t="n">
        <f aca="false">35.94/95*Notas!$B$3</f>
        <v>35.94</v>
      </c>
      <c r="F569" s="13" t="n">
        <v>1</v>
      </c>
      <c r="G569" s="17" t="n">
        <f aca="false">43.63/95*Notas!$B$3</f>
        <v>43.63</v>
      </c>
      <c r="H569" s="17" t="n">
        <f aca="false">35.94/95*Notas!$B$3</f>
        <v>35.94</v>
      </c>
      <c r="I569" s="17" t="n">
        <f aca="false">148.24/95*Notas!$B$3</f>
        <v>148.24</v>
      </c>
      <c r="J569" s="17" t="n">
        <f aca="false">148.24/95*Notas!$B$3</f>
        <v>148.24</v>
      </c>
    </row>
    <row r="570" customFormat="false" ht="15" hidden="false" customHeight="false" outlineLevel="0" collapsed="false">
      <c r="A570" s="13" t="s">
        <v>237</v>
      </c>
      <c r="B570" s="13" t="n">
        <v>74</v>
      </c>
      <c r="C570" s="17" t="n">
        <f aca="false">B570/100*Notas!$B$3</f>
        <v>70.3</v>
      </c>
      <c r="D570" s="17" t="n">
        <f aca="false">44.11/95*Notas!$B$3</f>
        <v>44.11</v>
      </c>
      <c r="E570" s="17" t="n">
        <f aca="false">36.44/95*Notas!$B$3</f>
        <v>36.44</v>
      </c>
      <c r="F570" s="13" t="n">
        <v>1</v>
      </c>
      <c r="G570" s="17" t="n">
        <f aca="false">44.11/95*Notas!$B$3</f>
        <v>44.11</v>
      </c>
      <c r="H570" s="17" t="n">
        <f aca="false">36.44/95*Notas!$B$3</f>
        <v>36.44</v>
      </c>
      <c r="I570" s="17" t="n">
        <f aca="false">150/95*Notas!$B$3</f>
        <v>150</v>
      </c>
      <c r="J570" s="17" t="n">
        <f aca="false">150/95*Notas!$B$3</f>
        <v>150</v>
      </c>
    </row>
    <row r="571" customFormat="false" ht="15" hidden="false" customHeight="false" outlineLevel="0" collapsed="false">
      <c r="A571" s="13" t="s">
        <v>237</v>
      </c>
      <c r="B571" s="13" t="n">
        <v>75</v>
      </c>
      <c r="C571" s="17" t="n">
        <f aca="false">B571/100*Notas!$B$3</f>
        <v>71.25</v>
      </c>
      <c r="D571" s="17" t="n">
        <f aca="false">44.51/95*Notas!$B$3</f>
        <v>44.51</v>
      </c>
      <c r="E571" s="17" t="n">
        <f aca="false">37.21/95*Notas!$B$3</f>
        <v>37.21</v>
      </c>
      <c r="F571" s="13" t="n">
        <v>1</v>
      </c>
      <c r="G571" s="17" t="n">
        <f aca="false">44.51/95*Notas!$B$3</f>
        <v>44.51</v>
      </c>
      <c r="H571" s="17" t="n">
        <f aca="false">37.21/95*Notas!$B$3</f>
        <v>37.21</v>
      </c>
      <c r="I571" s="17" t="n">
        <f aca="false">151.68/95*Notas!$B$3</f>
        <v>151.68</v>
      </c>
      <c r="J571" s="17" t="n">
        <f aca="false">151.68/95*Notas!$B$3</f>
        <v>151.68</v>
      </c>
    </row>
    <row r="572" customFormat="false" ht="15" hidden="false" customHeight="false" outlineLevel="0" collapsed="false">
      <c r="A572" s="13" t="s">
        <v>237</v>
      </c>
      <c r="B572" s="13" t="n">
        <v>76</v>
      </c>
      <c r="C572" s="17" t="n">
        <f aca="false">B572/100*Notas!$B$3</f>
        <v>72.2</v>
      </c>
      <c r="D572" s="17" t="n">
        <f aca="false">44.67/95*Notas!$B$3</f>
        <v>44.67</v>
      </c>
      <c r="E572" s="17" t="n">
        <f aca="false">36.7/95*Notas!$B$3</f>
        <v>36.7</v>
      </c>
      <c r="F572" s="13" t="n">
        <v>1</v>
      </c>
      <c r="G572" s="17" t="n">
        <f aca="false">44.67/95*Notas!$B$3</f>
        <v>44.67</v>
      </c>
      <c r="H572" s="17" t="n">
        <f aca="false">36.7/95*Notas!$B$3</f>
        <v>36.7</v>
      </c>
      <c r="I572" s="17" t="n">
        <f aca="false">151.02/95*Notas!$B$3</f>
        <v>151.02</v>
      </c>
      <c r="J572" s="17" t="n">
        <f aca="false">151.02/95*Notas!$B$3</f>
        <v>151.02</v>
      </c>
    </row>
    <row r="573" customFormat="false" ht="15" hidden="false" customHeight="false" outlineLevel="0" collapsed="false">
      <c r="A573" s="13" t="s">
        <v>237</v>
      </c>
      <c r="B573" s="13" t="n">
        <v>77</v>
      </c>
      <c r="C573" s="17" t="n">
        <f aca="false">B573/100*Notas!$B$3</f>
        <v>73.15</v>
      </c>
      <c r="D573" s="17" t="n">
        <f aca="false">44.82/95*Notas!$B$3</f>
        <v>44.82</v>
      </c>
      <c r="E573" s="17" t="n">
        <f aca="false">37.54/95*Notas!$B$3</f>
        <v>37.54</v>
      </c>
      <c r="F573" s="13" t="n">
        <v>1</v>
      </c>
      <c r="G573" s="17" t="n">
        <f aca="false">44.82/95*Notas!$B$3</f>
        <v>44.82</v>
      </c>
      <c r="H573" s="17" t="n">
        <f aca="false">37.54/95*Notas!$B$3</f>
        <v>37.54</v>
      </c>
      <c r="I573" s="17" t="n">
        <f aca="false">153.58/95*Notas!$B$3</f>
        <v>153.58</v>
      </c>
      <c r="J573" s="17" t="n">
        <f aca="false">153.58/95*Notas!$B$3</f>
        <v>153.58</v>
      </c>
    </row>
    <row r="574" customFormat="false" ht="15" hidden="false" customHeight="false" outlineLevel="0" collapsed="false">
      <c r="A574" s="13" t="s">
        <v>237</v>
      </c>
      <c r="B574" s="13" t="n">
        <v>78</v>
      </c>
      <c r="C574" s="17" t="n">
        <f aca="false">B574/100*Notas!$B$3</f>
        <v>74.1</v>
      </c>
      <c r="D574" s="17" t="n">
        <f aca="false">44.89/95*Notas!$B$3</f>
        <v>44.89</v>
      </c>
      <c r="E574" s="17" t="n">
        <f aca="false">38.35/95*Notas!$B$3</f>
        <v>38.35</v>
      </c>
      <c r="F574" s="13" t="n">
        <v>1</v>
      </c>
      <c r="G574" s="17" t="n">
        <f aca="false">44.89/95*Notas!$B$3</f>
        <v>44.89</v>
      </c>
      <c r="H574" s="17" t="n">
        <f aca="false">38.35/95*Notas!$B$3</f>
        <v>38.35</v>
      </c>
      <c r="I574" s="17" t="n">
        <f aca="false">154.38/95*Notas!$B$3</f>
        <v>154.38</v>
      </c>
      <c r="J574" s="17" t="n">
        <f aca="false">154.38/95*Notas!$B$3</f>
        <v>154.38</v>
      </c>
    </row>
    <row r="575" customFormat="false" ht="15" hidden="false" customHeight="false" outlineLevel="0" collapsed="false">
      <c r="A575" s="13" t="s">
        <v>237</v>
      </c>
      <c r="B575" s="13" t="n">
        <v>79</v>
      </c>
      <c r="C575" s="17" t="n">
        <f aca="false">B575/100*Notas!$B$3</f>
        <v>75.05</v>
      </c>
      <c r="D575" s="17" t="n">
        <f aca="false">44.88/95*Notas!$B$3</f>
        <v>44.88</v>
      </c>
      <c r="E575" s="17" t="n">
        <f aca="false">38.98/95*Notas!$B$3</f>
        <v>38.98</v>
      </c>
      <c r="F575" s="13" t="n">
        <v>1</v>
      </c>
      <c r="G575" s="17" t="n">
        <f aca="false">44.88/95*Notas!$B$3</f>
        <v>44.88</v>
      </c>
      <c r="H575" s="17" t="n">
        <f aca="false">38.98/95*Notas!$B$3</f>
        <v>38.98</v>
      </c>
      <c r="I575" s="17" t="n">
        <f aca="false">153.43/95*Notas!$B$3</f>
        <v>153.43</v>
      </c>
      <c r="J575" s="17" t="n">
        <f aca="false">153.43/95*Notas!$B$3</f>
        <v>153.43</v>
      </c>
    </row>
    <row r="576" customFormat="false" ht="15" hidden="false" customHeight="false" outlineLevel="0" collapsed="false">
      <c r="A576" s="13" t="s">
        <v>237</v>
      </c>
      <c r="B576" s="13" t="n">
        <v>80</v>
      </c>
      <c r="C576" s="17" t="n">
        <f aca="false">B576/100*Notas!$B$3</f>
        <v>76</v>
      </c>
      <c r="D576" s="17" t="n">
        <f aca="false">44.69/95*Notas!$B$3</f>
        <v>44.69</v>
      </c>
      <c r="E576" s="17" t="n">
        <f aca="false">39.29/95*Notas!$B$3</f>
        <v>39.29</v>
      </c>
      <c r="F576" s="13" t="n">
        <v>1</v>
      </c>
      <c r="G576" s="17" t="n">
        <f aca="false">44.69/95*Notas!$B$3</f>
        <v>44.69</v>
      </c>
      <c r="H576" s="17" t="n">
        <f aca="false">39.29/95*Notas!$B$3</f>
        <v>39.29</v>
      </c>
      <c r="I576" s="17" t="n">
        <f aca="false">152.71/95*Notas!$B$3</f>
        <v>152.71</v>
      </c>
      <c r="J576" s="17" t="n">
        <f aca="false">152.71/95*Notas!$B$3</f>
        <v>152.71</v>
      </c>
    </row>
    <row r="577" customFormat="false" ht="15" hidden="false" customHeight="false" outlineLevel="0" collapsed="false">
      <c r="A577" s="13" t="s">
        <v>237</v>
      </c>
      <c r="B577" s="13" t="n">
        <v>81</v>
      </c>
      <c r="C577" s="17" t="n">
        <f aca="false">B577/100*Notas!$B$3</f>
        <v>76.95</v>
      </c>
      <c r="D577" s="17" t="n">
        <f aca="false">44.45/95*Notas!$B$3</f>
        <v>44.45</v>
      </c>
      <c r="E577" s="17" t="n">
        <f aca="false">38.12/95*Notas!$B$3</f>
        <v>38.12</v>
      </c>
      <c r="F577" s="13" t="n">
        <v>1</v>
      </c>
      <c r="G577" s="17" t="n">
        <f aca="false">44.45/95*Notas!$B$3</f>
        <v>44.45</v>
      </c>
      <c r="H577" s="17" t="n">
        <f aca="false">38.12/95*Notas!$B$3</f>
        <v>38.12</v>
      </c>
      <c r="I577" s="17" t="n">
        <f aca="false">154.15/95*Notas!$B$3</f>
        <v>154.15</v>
      </c>
      <c r="J577" s="17" t="n">
        <f aca="false">154.15/95*Notas!$B$3</f>
        <v>154.15</v>
      </c>
    </row>
    <row r="578" customFormat="false" ht="15" hidden="false" customHeight="false" outlineLevel="0" collapsed="false">
      <c r="A578" s="13" t="s">
        <v>237</v>
      </c>
      <c r="B578" s="13" t="n">
        <v>82</v>
      </c>
      <c r="C578" s="17" t="n">
        <f aca="false">B578/100*Notas!$B$3</f>
        <v>77.9</v>
      </c>
      <c r="D578" s="17" t="n">
        <f aca="false">44.18/95*Notas!$B$3</f>
        <v>44.18</v>
      </c>
      <c r="E578" s="17" t="n">
        <f aca="false">37.16/95*Notas!$B$3</f>
        <v>37.16</v>
      </c>
      <c r="F578" s="13" t="n">
        <v>1</v>
      </c>
      <c r="G578" s="17" t="n">
        <f aca="false">44.18/95*Notas!$B$3</f>
        <v>44.18</v>
      </c>
      <c r="H578" s="17" t="n">
        <f aca="false">37.16/95*Notas!$B$3</f>
        <v>37.16</v>
      </c>
      <c r="I578" s="17" t="n">
        <f aca="false">153.06/95*Notas!$B$3</f>
        <v>153.06</v>
      </c>
      <c r="J578" s="17" t="n">
        <f aca="false">153.06/95*Notas!$B$3</f>
        <v>153.06</v>
      </c>
    </row>
    <row r="579" customFormat="false" ht="15" hidden="false" customHeight="false" outlineLevel="0" collapsed="false">
      <c r="A579" s="13" t="s">
        <v>237</v>
      </c>
      <c r="B579" s="13" t="n">
        <v>83</v>
      </c>
      <c r="C579" s="17" t="n">
        <f aca="false">B579/100*Notas!$B$3</f>
        <v>78.85</v>
      </c>
      <c r="D579" s="17" t="n">
        <f aca="false">43.1/95*Notas!$B$3</f>
        <v>43.1</v>
      </c>
      <c r="E579" s="17" t="n">
        <f aca="false">37.15/95*Notas!$B$3</f>
        <v>37.15</v>
      </c>
      <c r="F579" s="13" t="n">
        <v>1</v>
      </c>
      <c r="G579" s="17" t="n">
        <f aca="false">43.1/95*Notas!$B$3</f>
        <v>43.1</v>
      </c>
      <c r="H579" s="17" t="n">
        <f aca="false">37.15/95*Notas!$B$3</f>
        <v>37.15</v>
      </c>
      <c r="I579" s="17" t="n">
        <f aca="false">149.77/95*Notas!$B$3</f>
        <v>149.77</v>
      </c>
      <c r="J579" s="17" t="n">
        <f aca="false">149.77/95*Notas!$B$3</f>
        <v>149.77</v>
      </c>
    </row>
    <row r="580" customFormat="false" ht="15" hidden="false" customHeight="false" outlineLevel="0" collapsed="false">
      <c r="A580" s="13" t="s">
        <v>237</v>
      </c>
      <c r="B580" s="13" t="n">
        <v>84</v>
      </c>
      <c r="C580" s="17" t="n">
        <f aca="false">B580/100*Notas!$B$3</f>
        <v>79.8</v>
      </c>
      <c r="D580" s="17" t="n">
        <f aca="false">41.7/95*Notas!$B$3</f>
        <v>41.7</v>
      </c>
      <c r="E580" s="17" t="n">
        <f aca="false">36.76/95*Notas!$B$3</f>
        <v>36.76</v>
      </c>
      <c r="F580" s="13" t="n">
        <v>1</v>
      </c>
      <c r="G580" s="17" t="n">
        <f aca="false">41.7/95*Notas!$B$3</f>
        <v>41.7</v>
      </c>
      <c r="H580" s="17" t="n">
        <f aca="false">36.76/95*Notas!$B$3</f>
        <v>36.76</v>
      </c>
      <c r="I580" s="17" t="n">
        <f aca="false">143.89/95*Notas!$B$3</f>
        <v>143.89</v>
      </c>
      <c r="J580" s="17" t="n">
        <f aca="false">143.89/95*Notas!$B$3</f>
        <v>143.89</v>
      </c>
    </row>
    <row r="581" customFormat="false" ht="15" hidden="false" customHeight="false" outlineLevel="0" collapsed="false">
      <c r="A581" s="13" t="s">
        <v>237</v>
      </c>
      <c r="B581" s="13" t="n">
        <v>85</v>
      </c>
      <c r="C581" s="17" t="n">
        <f aca="false">B581/100*Notas!$B$3</f>
        <v>80.75</v>
      </c>
      <c r="D581" s="17" t="n">
        <f aca="false">40.22/95*Notas!$B$3</f>
        <v>40.22</v>
      </c>
      <c r="E581" s="17" t="n">
        <f aca="false">35.54/95*Notas!$B$3</f>
        <v>35.54</v>
      </c>
      <c r="F581" s="13" t="n">
        <v>1</v>
      </c>
      <c r="G581" s="17" t="n">
        <f aca="false">40.22/95*Notas!$B$3</f>
        <v>40.22</v>
      </c>
      <c r="H581" s="17" t="n">
        <f aca="false">35.54/95*Notas!$B$3</f>
        <v>35.54</v>
      </c>
      <c r="I581" s="17" t="n">
        <f aca="false">134.55/95*Notas!$B$3</f>
        <v>134.55</v>
      </c>
      <c r="J581" s="17" t="n">
        <f aca="false">134.55/95*Notas!$B$3</f>
        <v>134.55</v>
      </c>
    </row>
    <row r="582" customFormat="false" ht="15" hidden="false" customHeight="false" outlineLevel="0" collapsed="false">
      <c r="A582" s="13" t="s">
        <v>237</v>
      </c>
      <c r="B582" s="13" t="n">
        <v>86</v>
      </c>
      <c r="C582" s="17" t="n">
        <f aca="false">B582/100*Notas!$B$3</f>
        <v>81.7</v>
      </c>
      <c r="D582" s="17" t="n">
        <f aca="false">38.82/95*Notas!$B$3</f>
        <v>38.82</v>
      </c>
      <c r="E582" s="17" t="n">
        <f aca="false">34.2/95*Notas!$B$3</f>
        <v>34.2</v>
      </c>
      <c r="F582" s="13" t="n">
        <v>1</v>
      </c>
      <c r="G582" s="17" t="n">
        <f aca="false">38.82/95*Notas!$B$3</f>
        <v>38.82</v>
      </c>
      <c r="H582" s="17" t="n">
        <f aca="false">34.2/95*Notas!$B$3</f>
        <v>34.2</v>
      </c>
      <c r="I582" s="17" t="n">
        <f aca="false">129.2/95*Notas!$B$3</f>
        <v>129.2</v>
      </c>
      <c r="J582" s="17" t="n">
        <f aca="false">129.2/95*Notas!$B$3</f>
        <v>129.2</v>
      </c>
    </row>
    <row r="583" customFormat="false" ht="15" hidden="false" customHeight="false" outlineLevel="0" collapsed="false">
      <c r="A583" s="13" t="s">
        <v>237</v>
      </c>
      <c r="B583" s="13" t="n">
        <v>87</v>
      </c>
      <c r="C583" s="17" t="n">
        <f aca="false">B583/100*Notas!$B$3</f>
        <v>82.65</v>
      </c>
      <c r="D583" s="17" t="n">
        <f aca="false">37.47/95*Notas!$B$3</f>
        <v>37.47</v>
      </c>
      <c r="E583" s="17" t="n">
        <f aca="false">33.19/95*Notas!$B$3</f>
        <v>33.19</v>
      </c>
      <c r="F583" s="13" t="n">
        <v>1</v>
      </c>
      <c r="G583" s="17" t="n">
        <f aca="false">37.47/95*Notas!$B$3</f>
        <v>37.47</v>
      </c>
      <c r="H583" s="17" t="n">
        <f aca="false">33.19/95*Notas!$B$3</f>
        <v>33.19</v>
      </c>
      <c r="I583" s="17" t="n">
        <f aca="false">129.04/95*Notas!$B$3</f>
        <v>129.04</v>
      </c>
      <c r="J583" s="17" t="n">
        <f aca="false">129.04/95*Notas!$B$3</f>
        <v>129.04</v>
      </c>
    </row>
    <row r="584" customFormat="false" ht="15" hidden="false" customHeight="false" outlineLevel="0" collapsed="false">
      <c r="A584" s="13" t="s">
        <v>237</v>
      </c>
      <c r="B584" s="13" t="n">
        <v>88</v>
      </c>
      <c r="C584" s="17" t="n">
        <f aca="false">B584/100*Notas!$B$3</f>
        <v>83.6</v>
      </c>
      <c r="D584" s="17" t="n">
        <f aca="false">35.71/95*Notas!$B$3</f>
        <v>35.71</v>
      </c>
      <c r="E584" s="17" t="n">
        <f aca="false">31.89/95*Notas!$B$3</f>
        <v>31.89</v>
      </c>
      <c r="F584" s="13" t="n">
        <v>1</v>
      </c>
      <c r="G584" s="17" t="n">
        <f aca="false">35.71/95*Notas!$B$3</f>
        <v>35.71</v>
      </c>
      <c r="H584" s="17" t="n">
        <f aca="false">31.89/95*Notas!$B$3</f>
        <v>31.89</v>
      </c>
      <c r="I584" s="17" t="n">
        <f aca="false">134.06/95*Notas!$B$3</f>
        <v>134.06</v>
      </c>
      <c r="J584" s="17" t="n">
        <f aca="false">134.06/95*Notas!$B$3</f>
        <v>134.06</v>
      </c>
    </row>
    <row r="585" customFormat="false" ht="15" hidden="false" customHeight="false" outlineLevel="0" collapsed="false">
      <c r="A585" s="13" t="s">
        <v>237</v>
      </c>
      <c r="B585" s="13" t="n">
        <v>89</v>
      </c>
      <c r="C585" s="17" t="n">
        <f aca="false">B585/100*Notas!$B$3</f>
        <v>84.55</v>
      </c>
      <c r="D585" s="17" t="n">
        <f aca="false">35.52/95*Notas!$B$3</f>
        <v>35.52</v>
      </c>
      <c r="E585" s="17" t="n">
        <f aca="false">30.5/95*Notas!$B$3</f>
        <v>30.5</v>
      </c>
      <c r="F585" s="13" t="n">
        <v>1</v>
      </c>
      <c r="G585" s="17" t="n">
        <f aca="false">35.52/95*Notas!$B$3</f>
        <v>35.52</v>
      </c>
      <c r="H585" s="17" t="n">
        <f aca="false">30.5/95*Notas!$B$3</f>
        <v>30.5</v>
      </c>
      <c r="I585" s="17" t="n">
        <f aca="false">138.21/95*Notas!$B$3</f>
        <v>138.21</v>
      </c>
      <c r="J585" s="17" t="n">
        <f aca="false">138.21/95*Notas!$B$3</f>
        <v>138.21</v>
      </c>
    </row>
    <row r="586" customFormat="false" ht="15" hidden="false" customHeight="false" outlineLevel="0" collapsed="false">
      <c r="A586" s="13" t="s">
        <v>237</v>
      </c>
      <c r="B586" s="13" t="n">
        <v>90</v>
      </c>
      <c r="C586" s="17" t="n">
        <f aca="false">B586/100*Notas!$B$3</f>
        <v>85.5</v>
      </c>
      <c r="D586" s="17" t="n">
        <f aca="false">35.67/95*Notas!$B$3</f>
        <v>35.67</v>
      </c>
      <c r="E586" s="17" t="n">
        <f aca="false">29.54/95*Notas!$B$3</f>
        <v>29.54</v>
      </c>
      <c r="F586" s="13" t="n">
        <v>1</v>
      </c>
      <c r="G586" s="17" t="n">
        <f aca="false">35.67/95*Notas!$B$3</f>
        <v>35.67</v>
      </c>
      <c r="H586" s="17" t="n">
        <f aca="false">29.54/95*Notas!$B$3</f>
        <v>29.54</v>
      </c>
      <c r="I586" s="17" t="n">
        <f aca="false">138.66/95*Notas!$B$3</f>
        <v>138.66</v>
      </c>
      <c r="J586" s="17" t="n">
        <f aca="false">138.66/95*Notas!$B$3</f>
        <v>138.66</v>
      </c>
    </row>
    <row r="587" customFormat="false" ht="15" hidden="false" customHeight="false" outlineLevel="0" collapsed="false">
      <c r="A587" s="13" t="s">
        <v>237</v>
      </c>
      <c r="B587" s="13" t="n">
        <v>91</v>
      </c>
      <c r="C587" s="17" t="n">
        <f aca="false">B587/100*Notas!$B$3</f>
        <v>86.45</v>
      </c>
      <c r="D587" s="17" t="n">
        <f aca="false">35.73/95*Notas!$B$3</f>
        <v>35.73</v>
      </c>
      <c r="E587" s="17" t="n">
        <f aca="false">27.59/95*Notas!$B$3</f>
        <v>27.59</v>
      </c>
      <c r="F587" s="13" t="n">
        <v>2</v>
      </c>
      <c r="G587" s="17" t="n">
        <f aca="false">35.73/95*Notas!$B$3</f>
        <v>35.73</v>
      </c>
      <c r="H587" s="17" t="n">
        <f aca="false">27.59/95*Notas!$B$3</f>
        <v>27.59</v>
      </c>
      <c r="I587" s="17" t="n">
        <f aca="false">130.98/95*Notas!$B$3</f>
        <v>130.98</v>
      </c>
      <c r="J587" s="17" t="n">
        <f aca="false">135.13/95*Notas!$B$3</f>
        <v>135.13</v>
      </c>
    </row>
    <row r="588" customFormat="false" ht="15" hidden="false" customHeight="false" outlineLevel="0" collapsed="false">
      <c r="A588" s="13" t="s">
        <v>237</v>
      </c>
      <c r="B588" s="13" t="n">
        <v>92</v>
      </c>
      <c r="C588" s="17" t="n">
        <f aca="false">B588/100*Notas!$B$3</f>
        <v>87.4</v>
      </c>
      <c r="D588" s="17" t="n">
        <f aca="false">35.58/95*Notas!$B$3</f>
        <v>35.58</v>
      </c>
      <c r="E588" s="17" t="n">
        <f aca="false">24.06/95*Notas!$B$3</f>
        <v>24.06</v>
      </c>
      <c r="F588" s="13" t="n">
        <v>2</v>
      </c>
      <c r="G588" s="17" t="n">
        <f aca="false">35.58/95*Notas!$B$3</f>
        <v>35.58</v>
      </c>
      <c r="H588" s="17" t="n">
        <f aca="false">24.06/95*Notas!$B$3</f>
        <v>24.06</v>
      </c>
      <c r="I588" s="17" t="n">
        <f aca="false">114.82/95*Notas!$B$3</f>
        <v>114.82</v>
      </c>
      <c r="J588" s="17" t="n">
        <f aca="false">121.17/95*Notas!$B$3</f>
        <v>121.17</v>
      </c>
    </row>
    <row r="589" customFormat="false" ht="15" hidden="false" customHeight="false" outlineLevel="0" collapsed="false">
      <c r="A589" s="13" t="s">
        <v>237</v>
      </c>
      <c r="B589" s="13" t="n">
        <v>93</v>
      </c>
      <c r="C589" s="17" t="n">
        <f aca="false">B589/100*Notas!$B$3</f>
        <v>88.35</v>
      </c>
      <c r="D589" s="17" t="n">
        <f aca="false">34.49/95*Notas!$B$3</f>
        <v>34.49</v>
      </c>
      <c r="E589" s="17" t="n">
        <f aca="false">20.66/95*Notas!$B$3</f>
        <v>20.66</v>
      </c>
      <c r="F589" s="13" t="n">
        <v>2</v>
      </c>
      <c r="G589" s="17" t="n">
        <f aca="false">27.04/95*Notas!$B$3</f>
        <v>27.04</v>
      </c>
      <c r="H589" s="17" t="n">
        <f aca="false">20.66/95*Notas!$B$3</f>
        <v>20.66</v>
      </c>
      <c r="I589" s="17" t="n">
        <f aca="false">95.58/95*Notas!$B$3</f>
        <v>95.58</v>
      </c>
      <c r="J589" s="17" t="n">
        <f aca="false">115.75/95*Notas!$B$3</f>
        <v>115.75</v>
      </c>
    </row>
    <row r="590" customFormat="false" ht="15" hidden="false" customHeight="false" outlineLevel="0" collapsed="false">
      <c r="A590" s="13" t="s">
        <v>237</v>
      </c>
      <c r="B590" s="13" t="n">
        <v>94</v>
      </c>
      <c r="C590" s="17" t="n">
        <f aca="false">B590/100*Notas!$B$3</f>
        <v>89.3</v>
      </c>
      <c r="D590" s="17" t="n">
        <f aca="false">30.15/95*Notas!$B$3</f>
        <v>30.15</v>
      </c>
      <c r="E590" s="17" t="n">
        <f aca="false">19.19/95*Notas!$B$3</f>
        <v>19.19</v>
      </c>
      <c r="F590" s="13" t="n">
        <v>2</v>
      </c>
      <c r="G590" s="17" t="n">
        <f aca="false">26.53/95*Notas!$B$3</f>
        <v>26.53</v>
      </c>
      <c r="H590" s="17" t="n">
        <f aca="false">19.19/95*Notas!$B$3</f>
        <v>19.19</v>
      </c>
      <c r="I590" s="17" t="n">
        <f aca="false">97.57/95*Notas!$B$3</f>
        <v>97.57</v>
      </c>
      <c r="J590" s="17" t="n">
        <f aca="false">103.78/95*Notas!$B$3</f>
        <v>103.78</v>
      </c>
    </row>
    <row r="591" customFormat="false" ht="15" hidden="false" customHeight="false" outlineLevel="0" collapsed="false">
      <c r="A591" s="13" t="s">
        <v>237</v>
      </c>
      <c r="B591" s="13" t="n">
        <v>95</v>
      </c>
      <c r="C591" s="17" t="n">
        <f aca="false">B591/100*Notas!$B$3</f>
        <v>90.25</v>
      </c>
      <c r="D591" s="17" t="n">
        <f aca="false">17.74/95*Notas!$B$3</f>
        <v>17.74</v>
      </c>
      <c r="E591" s="17" t="n">
        <f aca="false">17.93/95*Notas!$B$3</f>
        <v>17.93</v>
      </c>
      <c r="F591" s="13" t="n">
        <v>2</v>
      </c>
      <c r="G591" s="17" t="n">
        <f aca="false">16.11/95*Notas!$B$3</f>
        <v>16.11</v>
      </c>
      <c r="H591" s="17" t="n">
        <f aca="false">11.06/95*Notas!$B$3</f>
        <v>11.06</v>
      </c>
      <c r="I591" s="17" t="n">
        <f aca="false">41.51/95*Notas!$B$3</f>
        <v>41.51</v>
      </c>
      <c r="J591" s="17" t="n">
        <f aca="false">78.33/95*Notas!$B$3</f>
        <v>78.33</v>
      </c>
    </row>
    <row r="592" customFormat="false" ht="15" hidden="false" customHeight="false" outlineLevel="0" collapsed="false">
      <c r="A592" s="13" t="s">
        <v>237</v>
      </c>
      <c r="B592" s="13" t="n">
        <v>96</v>
      </c>
      <c r="C592" s="17" t="n">
        <f aca="false">B592/100*Notas!$B$3</f>
        <v>91.2</v>
      </c>
      <c r="D592" s="17" t="n">
        <f aca="false">16.07/95*Notas!$B$3</f>
        <v>16.07</v>
      </c>
      <c r="E592" s="17" t="n">
        <f aca="false">16.03/95*Notas!$B$3</f>
        <v>16.03</v>
      </c>
      <c r="F592" s="13" t="n">
        <v>2</v>
      </c>
      <c r="G592" s="17" t="n">
        <f aca="false">13.2/95*Notas!$B$3</f>
        <v>13.2</v>
      </c>
      <c r="H592" s="17" t="n">
        <f aca="false">9.64/95*Notas!$B$3</f>
        <v>9.64</v>
      </c>
      <c r="I592" s="17" t="n">
        <f aca="false">34.88/95*Notas!$B$3</f>
        <v>34.88</v>
      </c>
      <c r="J592" s="17" t="n">
        <f aca="false">62.61/95*Notas!$B$3</f>
        <v>62.61</v>
      </c>
    </row>
    <row r="593" customFormat="false" ht="15" hidden="false" customHeight="false" outlineLevel="0" collapsed="false">
      <c r="A593" s="13" t="s">
        <v>237</v>
      </c>
      <c r="B593" s="13" t="n">
        <v>97</v>
      </c>
      <c r="C593" s="17" t="n">
        <f aca="false">B593/100*Notas!$B$3</f>
        <v>92.15</v>
      </c>
      <c r="D593" s="17" t="n">
        <f aca="false">14.24/95*Notas!$B$3</f>
        <v>14.24</v>
      </c>
      <c r="E593" s="17" t="n">
        <f aca="false">13.61/95*Notas!$B$3</f>
        <v>13.61</v>
      </c>
      <c r="F593" s="13" t="n">
        <v>2</v>
      </c>
      <c r="G593" s="17" t="n">
        <f aca="false">10.21/95*Notas!$B$3</f>
        <v>10.21</v>
      </c>
      <c r="H593" s="17" t="n">
        <f aca="false">7.92/95*Notas!$B$3</f>
        <v>7.92</v>
      </c>
      <c r="I593" s="17" t="n">
        <f aca="false">27.81/95*Notas!$B$3</f>
        <v>27.81</v>
      </c>
      <c r="J593" s="17" t="n">
        <f aca="false">49.8/95*Notas!$B$3</f>
        <v>49.8</v>
      </c>
    </row>
    <row r="594" customFormat="false" ht="15" hidden="false" customHeight="false" outlineLevel="0" collapsed="false">
      <c r="A594" s="13" t="s">
        <v>237</v>
      </c>
      <c r="B594" s="13" t="n">
        <v>98</v>
      </c>
      <c r="C594" s="17" t="n">
        <f aca="false">B594/100*Notas!$B$3</f>
        <v>93.1</v>
      </c>
      <c r="D594" s="17" t="n">
        <f aca="false">12.42/95*Notas!$B$3</f>
        <v>12.42</v>
      </c>
      <c r="E594" s="17" t="n">
        <f aca="false">11.17/95*Notas!$B$3</f>
        <v>11.17</v>
      </c>
      <c r="F594" s="13" t="n">
        <v>2</v>
      </c>
      <c r="G594" s="17" t="n">
        <f aca="false">7.14/95*Notas!$B$3</f>
        <v>7.14</v>
      </c>
      <c r="H594" s="17" t="n">
        <f aca="false">6.14/95*Notas!$B$3</f>
        <v>6.14</v>
      </c>
      <c r="I594" s="17" t="n">
        <f aca="false">20.25/95*Notas!$B$3</f>
        <v>20.25</v>
      </c>
      <c r="J594" s="17" t="n">
        <f aca="false">36.36/95*Notas!$B$3</f>
        <v>36.36</v>
      </c>
    </row>
    <row r="595" customFormat="false" ht="15" hidden="false" customHeight="false" outlineLevel="0" collapsed="false">
      <c r="A595" s="13" t="s">
        <v>237</v>
      </c>
      <c r="B595" s="13" t="n">
        <v>99</v>
      </c>
      <c r="C595" s="17" t="n">
        <f aca="false">B595/100*Notas!$B$3</f>
        <v>94.05</v>
      </c>
      <c r="D595" s="17" t="n">
        <f aca="false">10.49/95*Notas!$B$3</f>
        <v>10.49</v>
      </c>
      <c r="E595" s="17" t="n">
        <f aca="false">8.62/95*Notas!$B$3</f>
        <v>8.62</v>
      </c>
      <c r="F595" s="13" t="n">
        <v>2</v>
      </c>
      <c r="G595" s="17" t="n">
        <f aca="false">3.86/95*Notas!$B$3</f>
        <v>3.86</v>
      </c>
      <c r="H595" s="17" t="n">
        <f aca="false">4.08/95*Notas!$B$3</f>
        <v>4.08</v>
      </c>
      <c r="I595" s="17" t="n">
        <f aca="false">11.98/95*Notas!$B$3</f>
        <v>11.98</v>
      </c>
      <c r="J595" s="17" t="n">
        <f aca="false">21.71/95*Notas!$B$3</f>
        <v>21.71</v>
      </c>
    </row>
    <row r="596" customFormat="false" ht="15" hidden="false" customHeight="false" outlineLevel="0" collapsed="false">
      <c r="A596" s="13" t="s">
        <v>242</v>
      </c>
      <c r="B596" s="13" t="n">
        <v>1</v>
      </c>
      <c r="C596" s="17" t="n">
        <f aca="false">B596/100*Notas!$B$3</f>
        <v>0.95</v>
      </c>
      <c r="D596" s="17" t="n">
        <f aca="false">44.69/95*Notas!$B$3</f>
        <v>44.69</v>
      </c>
      <c r="E596" s="17" t="n">
        <f aca="false">27.73/95*Notas!$B$3</f>
        <v>27.73</v>
      </c>
      <c r="F596" s="13" t="n">
        <v>2</v>
      </c>
      <c r="G596" s="17" t="n">
        <f aca="false">21.1/95*Notas!$B$3</f>
        <v>21.1</v>
      </c>
      <c r="H596" s="17" t="n">
        <f aca="false">21.59/95*Notas!$B$3</f>
        <v>21.59</v>
      </c>
      <c r="I596" s="17" t="n">
        <f aca="false">64.8/95*Notas!$B$3</f>
        <v>64.8</v>
      </c>
      <c r="J596" s="17" t="n">
        <f aca="false">142.17/95*Notas!$B$3</f>
        <v>142.17</v>
      </c>
    </row>
    <row r="597" customFormat="false" ht="15" hidden="false" customHeight="false" outlineLevel="0" collapsed="false">
      <c r="A597" s="13" t="s">
        <v>242</v>
      </c>
      <c r="B597" s="13" t="n">
        <v>2</v>
      </c>
      <c r="C597" s="17" t="n">
        <f aca="false">B597/100*Notas!$B$3</f>
        <v>1.9</v>
      </c>
      <c r="D597" s="17" t="n">
        <f aca="false">44.75/95*Notas!$B$3</f>
        <v>44.75</v>
      </c>
      <c r="E597" s="17" t="n">
        <f aca="false">27.71/95*Notas!$B$3</f>
        <v>27.71</v>
      </c>
      <c r="F597" s="13" t="n">
        <v>2</v>
      </c>
      <c r="G597" s="17" t="n">
        <f aca="false">21.1/95*Notas!$B$3</f>
        <v>21.1</v>
      </c>
      <c r="H597" s="17" t="n">
        <f aca="false">21.59/95*Notas!$B$3</f>
        <v>21.59</v>
      </c>
      <c r="I597" s="17" t="n">
        <f aca="false">65.22/95*Notas!$B$3</f>
        <v>65.22</v>
      </c>
      <c r="J597" s="17" t="n">
        <f aca="false">132.01/95*Notas!$B$3</f>
        <v>132.01</v>
      </c>
    </row>
    <row r="598" customFormat="false" ht="15" hidden="false" customHeight="false" outlineLevel="0" collapsed="false">
      <c r="A598" s="13" t="s">
        <v>242</v>
      </c>
      <c r="B598" s="13" t="n">
        <v>3</v>
      </c>
      <c r="C598" s="17" t="n">
        <f aca="false">B598/100*Notas!$B$3</f>
        <v>2.85</v>
      </c>
      <c r="D598" s="17" t="n">
        <f aca="false">44.66/95*Notas!$B$3</f>
        <v>44.66</v>
      </c>
      <c r="E598" s="17" t="n">
        <f aca="false">27.67/95*Notas!$B$3</f>
        <v>27.67</v>
      </c>
      <c r="F598" s="13" t="n">
        <v>2</v>
      </c>
      <c r="G598" s="17" t="n">
        <f aca="false">20.97/95*Notas!$B$3</f>
        <v>20.97</v>
      </c>
      <c r="H598" s="17" t="n">
        <f aca="false">21.48/95*Notas!$B$3</f>
        <v>21.48</v>
      </c>
      <c r="I598" s="17" t="n">
        <f aca="false">64.46/95*Notas!$B$3</f>
        <v>64.46</v>
      </c>
      <c r="J598" s="17" t="n">
        <f aca="false">131.13/95*Notas!$B$3</f>
        <v>131.13</v>
      </c>
    </row>
    <row r="599" customFormat="false" ht="15" hidden="false" customHeight="false" outlineLevel="0" collapsed="false">
      <c r="A599" s="13" t="s">
        <v>242</v>
      </c>
      <c r="B599" s="13" t="n">
        <v>4</v>
      </c>
      <c r="C599" s="17" t="n">
        <f aca="false">B599/100*Notas!$B$3</f>
        <v>3.8</v>
      </c>
      <c r="D599" s="17" t="n">
        <f aca="false">44.61/95*Notas!$B$3</f>
        <v>44.61</v>
      </c>
      <c r="E599" s="17" t="n">
        <f aca="false">27.6/95*Notas!$B$3</f>
        <v>27.6</v>
      </c>
      <c r="F599" s="13" t="n">
        <v>2</v>
      </c>
      <c r="G599" s="17" t="n">
        <f aca="false">20.9/95*Notas!$B$3</f>
        <v>20.9</v>
      </c>
      <c r="H599" s="17" t="n">
        <f aca="false">21.43/95*Notas!$B$3</f>
        <v>21.43</v>
      </c>
      <c r="I599" s="17" t="n">
        <f aca="false">64.24/95*Notas!$B$3</f>
        <v>64.24</v>
      </c>
      <c r="J599" s="17" t="n">
        <f aca="false">130.74/95*Notas!$B$3</f>
        <v>130.74</v>
      </c>
    </row>
    <row r="600" customFormat="false" ht="15" hidden="false" customHeight="false" outlineLevel="0" collapsed="false">
      <c r="A600" s="13" t="s">
        <v>242</v>
      </c>
      <c r="B600" s="13" t="n">
        <v>5</v>
      </c>
      <c r="C600" s="17" t="n">
        <f aca="false">B600/100*Notas!$B$3</f>
        <v>4.75</v>
      </c>
      <c r="D600" s="17" t="n">
        <f aca="false">44.55/95*Notas!$B$3</f>
        <v>44.55</v>
      </c>
      <c r="E600" s="17" t="n">
        <f aca="false">27.53/95*Notas!$B$3</f>
        <v>27.53</v>
      </c>
      <c r="F600" s="13" t="n">
        <v>2</v>
      </c>
      <c r="G600" s="17" t="n">
        <f aca="false">20.84/95*Notas!$B$3</f>
        <v>20.84</v>
      </c>
      <c r="H600" s="17" t="n">
        <f aca="false">21.39/95*Notas!$B$3</f>
        <v>21.39</v>
      </c>
      <c r="I600" s="17" t="n">
        <f aca="false">64.37/95*Notas!$B$3</f>
        <v>64.37</v>
      </c>
      <c r="J600" s="17" t="n">
        <f aca="false">130.72/95*Notas!$B$3</f>
        <v>130.72</v>
      </c>
    </row>
    <row r="601" customFormat="false" ht="15" hidden="false" customHeight="false" outlineLevel="0" collapsed="false">
      <c r="A601" s="13" t="s">
        <v>242</v>
      </c>
      <c r="B601" s="13" t="n">
        <v>6</v>
      </c>
      <c r="C601" s="17" t="n">
        <f aca="false">B601/100*Notas!$B$3</f>
        <v>5.7</v>
      </c>
      <c r="D601" s="17" t="n">
        <f aca="false">44.49/95*Notas!$B$3</f>
        <v>44.49</v>
      </c>
      <c r="E601" s="17" t="n">
        <f aca="false">27.3/95*Notas!$B$3</f>
        <v>27.3</v>
      </c>
      <c r="F601" s="13" t="n">
        <v>2</v>
      </c>
      <c r="G601" s="17" t="n">
        <f aca="false">20.77/95*Notas!$B$3</f>
        <v>20.77</v>
      </c>
      <c r="H601" s="17" t="n">
        <f aca="false">21.19/95*Notas!$B$3</f>
        <v>21.19</v>
      </c>
      <c r="I601" s="17" t="n">
        <f aca="false">62.32/95*Notas!$B$3</f>
        <v>62.32</v>
      </c>
      <c r="J601" s="17" t="n">
        <f aca="false">128.36/95*Notas!$B$3</f>
        <v>128.36</v>
      </c>
    </row>
    <row r="602" customFormat="false" ht="15" hidden="false" customHeight="false" outlineLevel="0" collapsed="false">
      <c r="A602" s="13" t="s">
        <v>242</v>
      </c>
      <c r="B602" s="13" t="n">
        <v>7</v>
      </c>
      <c r="C602" s="17" t="n">
        <f aca="false">B602/100*Notas!$B$3</f>
        <v>6.65</v>
      </c>
      <c r="D602" s="17" t="n">
        <f aca="false">39.93/95*Notas!$B$3</f>
        <v>39.93</v>
      </c>
      <c r="E602" s="17" t="n">
        <f aca="false">25.72/95*Notas!$B$3</f>
        <v>25.72</v>
      </c>
      <c r="F602" s="13" t="n">
        <v>3</v>
      </c>
      <c r="G602" s="17" t="n">
        <f aca="false">14.61/95*Notas!$B$3</f>
        <v>14.61</v>
      </c>
      <c r="H602" s="17" t="n">
        <f aca="false">14.58/95*Notas!$B$3</f>
        <v>14.58</v>
      </c>
      <c r="I602" s="17" t="n">
        <f aca="false">44.06/95*Notas!$B$3</f>
        <v>44.06</v>
      </c>
      <c r="J602" s="17" t="n">
        <f aca="false">110.69/95*Notas!$B$3</f>
        <v>110.69</v>
      </c>
    </row>
    <row r="603" customFormat="false" ht="15" hidden="false" customHeight="false" outlineLevel="0" collapsed="false">
      <c r="A603" s="13" t="s">
        <v>242</v>
      </c>
      <c r="B603" s="13" t="n">
        <v>8</v>
      </c>
      <c r="C603" s="17" t="n">
        <f aca="false">B603/100*Notas!$B$3</f>
        <v>7.6</v>
      </c>
      <c r="D603" s="17" t="n">
        <f aca="false">35.77/95*Notas!$B$3</f>
        <v>35.77</v>
      </c>
      <c r="E603" s="17" t="n">
        <f aca="false">18.59/95*Notas!$B$3</f>
        <v>18.59</v>
      </c>
      <c r="F603" s="13" t="n">
        <v>2</v>
      </c>
      <c r="G603" s="17" t="n">
        <f aca="false">15.25/95*Notas!$B$3</f>
        <v>15.25</v>
      </c>
      <c r="H603" s="17" t="n">
        <f aca="false">15.68/95*Notas!$B$3</f>
        <v>15.68</v>
      </c>
      <c r="I603" s="17" t="n">
        <f aca="false">46.64/95*Notas!$B$3</f>
        <v>46.64</v>
      </c>
      <c r="J603" s="17" t="n">
        <f aca="false">93.75/95*Notas!$B$3</f>
        <v>93.75</v>
      </c>
    </row>
    <row r="604" customFormat="false" ht="15" hidden="false" customHeight="false" outlineLevel="0" collapsed="false">
      <c r="A604" s="13" t="s">
        <v>242</v>
      </c>
      <c r="B604" s="13" t="n">
        <v>9</v>
      </c>
      <c r="C604" s="17" t="n">
        <f aca="false">B604/100*Notas!$B$3</f>
        <v>8.55</v>
      </c>
      <c r="D604" s="17" t="n">
        <f aca="false">35.92/95*Notas!$B$3</f>
        <v>35.92</v>
      </c>
      <c r="E604" s="17" t="n">
        <f aca="false">18.65/95*Notas!$B$3</f>
        <v>18.65</v>
      </c>
      <c r="F604" s="13" t="n">
        <v>2</v>
      </c>
      <c r="G604" s="17" t="n">
        <f aca="false">15.48/95*Notas!$B$3</f>
        <v>15.48</v>
      </c>
      <c r="H604" s="17" t="n">
        <f aca="false">15.91/95*Notas!$B$3</f>
        <v>15.91</v>
      </c>
      <c r="I604" s="17" t="n">
        <f aca="false">47.3/95*Notas!$B$3</f>
        <v>47.3</v>
      </c>
      <c r="J604" s="17" t="n">
        <f aca="false">94.82/95*Notas!$B$3</f>
        <v>94.82</v>
      </c>
    </row>
    <row r="605" customFormat="false" ht="15" hidden="false" customHeight="false" outlineLevel="0" collapsed="false">
      <c r="A605" s="13" t="s">
        <v>242</v>
      </c>
      <c r="B605" s="13" t="n">
        <v>10</v>
      </c>
      <c r="C605" s="17" t="n">
        <f aca="false">B605/100*Notas!$B$3</f>
        <v>9.5</v>
      </c>
      <c r="D605" s="17" t="n">
        <f aca="false">35.96/95*Notas!$B$3</f>
        <v>35.96</v>
      </c>
      <c r="E605" s="17" t="n">
        <f aca="false">18.71/95*Notas!$B$3</f>
        <v>18.71</v>
      </c>
      <c r="F605" s="13" t="n">
        <v>2</v>
      </c>
      <c r="G605" s="17" t="n">
        <f aca="false">15.71/95*Notas!$B$3</f>
        <v>15.71</v>
      </c>
      <c r="H605" s="17" t="n">
        <f aca="false">16.12/95*Notas!$B$3</f>
        <v>16.12</v>
      </c>
      <c r="I605" s="17" t="n">
        <f aca="false">47.92/95*Notas!$B$3</f>
        <v>47.92</v>
      </c>
      <c r="J605" s="17" t="n">
        <f aca="false">95.76/95*Notas!$B$3</f>
        <v>95.76</v>
      </c>
    </row>
    <row r="606" customFormat="false" ht="15" hidden="false" customHeight="false" outlineLevel="0" collapsed="false">
      <c r="A606" s="13" t="s">
        <v>242</v>
      </c>
      <c r="B606" s="13" t="n">
        <v>11</v>
      </c>
      <c r="C606" s="17" t="n">
        <f aca="false">B606/100*Notas!$B$3</f>
        <v>10.45</v>
      </c>
      <c r="D606" s="17" t="n">
        <f aca="false">36/95*Notas!$B$3</f>
        <v>36</v>
      </c>
      <c r="E606" s="17" t="n">
        <f aca="false">18.77/95*Notas!$B$3</f>
        <v>18.77</v>
      </c>
      <c r="F606" s="13" t="n">
        <v>2</v>
      </c>
      <c r="G606" s="17" t="n">
        <f aca="false">15.86/95*Notas!$B$3</f>
        <v>15.86</v>
      </c>
      <c r="H606" s="17" t="n">
        <f aca="false">16.34/95*Notas!$B$3</f>
        <v>16.34</v>
      </c>
      <c r="I606" s="17" t="n">
        <f aca="false">47.98/95*Notas!$B$3</f>
        <v>47.98</v>
      </c>
      <c r="J606" s="17" t="n">
        <f aca="false">96.13/95*Notas!$B$3</f>
        <v>96.13</v>
      </c>
    </row>
    <row r="607" customFormat="false" ht="15" hidden="false" customHeight="false" outlineLevel="0" collapsed="false">
      <c r="A607" s="13" t="s">
        <v>242</v>
      </c>
      <c r="B607" s="13" t="n">
        <v>12</v>
      </c>
      <c r="C607" s="17" t="n">
        <f aca="false">B607/100*Notas!$B$3</f>
        <v>11.4</v>
      </c>
      <c r="D607" s="17" t="n">
        <f aca="false">35.97/95*Notas!$B$3</f>
        <v>35.97</v>
      </c>
      <c r="E607" s="17" t="n">
        <f aca="false">18.12/95*Notas!$B$3</f>
        <v>18.12</v>
      </c>
      <c r="F607" s="13" t="n">
        <v>2</v>
      </c>
      <c r="G607" s="17" t="n">
        <f aca="false">15.51/95*Notas!$B$3</f>
        <v>15.51</v>
      </c>
      <c r="H607" s="17" t="n">
        <f aca="false">16.1/95*Notas!$B$3</f>
        <v>16.1</v>
      </c>
      <c r="I607" s="17" t="n">
        <f aca="false">47.78/95*Notas!$B$3</f>
        <v>47.78</v>
      </c>
      <c r="J607" s="17" t="n">
        <f aca="false">94.08/95*Notas!$B$3</f>
        <v>94.08</v>
      </c>
    </row>
    <row r="608" customFormat="false" ht="15" hidden="false" customHeight="false" outlineLevel="0" collapsed="false">
      <c r="A608" s="13" t="s">
        <v>242</v>
      </c>
      <c r="B608" s="13" t="n">
        <v>13</v>
      </c>
      <c r="C608" s="17" t="n">
        <f aca="false">B608/100*Notas!$B$3</f>
        <v>12.35</v>
      </c>
      <c r="D608" s="17" t="n">
        <f aca="false">34.53/95*Notas!$B$3</f>
        <v>34.53</v>
      </c>
      <c r="E608" s="17" t="n">
        <f aca="false">16.47/95*Notas!$B$3</f>
        <v>16.47</v>
      </c>
      <c r="F608" s="13" t="n">
        <v>2</v>
      </c>
      <c r="G608" s="17" t="n">
        <f aca="false">14.68/95*Notas!$B$3</f>
        <v>14.68</v>
      </c>
      <c r="H608" s="17" t="n">
        <f aca="false">15.21/95*Notas!$B$3</f>
        <v>15.21</v>
      </c>
      <c r="I608" s="17" t="n">
        <f aca="false">44.41/95*Notas!$B$3</f>
        <v>44.41</v>
      </c>
      <c r="J608" s="17" t="n">
        <f aca="false">88.94/95*Notas!$B$3</f>
        <v>88.94</v>
      </c>
    </row>
    <row r="609" customFormat="false" ht="15" hidden="false" customHeight="false" outlineLevel="0" collapsed="false">
      <c r="A609" s="13" t="s">
        <v>242</v>
      </c>
      <c r="B609" s="13" t="n">
        <v>14</v>
      </c>
      <c r="C609" s="17" t="n">
        <f aca="false">B609/100*Notas!$B$3</f>
        <v>13.3</v>
      </c>
      <c r="D609" s="17" t="n">
        <f aca="false">33.65/95*Notas!$B$3</f>
        <v>33.65</v>
      </c>
      <c r="E609" s="17" t="n">
        <f aca="false">16.54/95*Notas!$B$3</f>
        <v>16.54</v>
      </c>
      <c r="F609" s="13" t="n">
        <v>2</v>
      </c>
      <c r="G609" s="17" t="n">
        <f aca="false">14.78/95*Notas!$B$3</f>
        <v>14.78</v>
      </c>
      <c r="H609" s="17" t="n">
        <f aca="false">15.43/95*Notas!$B$3</f>
        <v>15.43</v>
      </c>
      <c r="I609" s="17" t="n">
        <f aca="false">44.95/95*Notas!$B$3</f>
        <v>44.95</v>
      </c>
      <c r="J609" s="17" t="n">
        <f aca="false">88.43/95*Notas!$B$3</f>
        <v>88.43</v>
      </c>
    </row>
    <row r="610" customFormat="false" ht="15" hidden="false" customHeight="false" outlineLevel="0" collapsed="false">
      <c r="A610" s="13" t="s">
        <v>242</v>
      </c>
      <c r="B610" s="13" t="n">
        <v>15</v>
      </c>
      <c r="C610" s="17" t="n">
        <f aca="false">B610/100*Notas!$B$3</f>
        <v>14.25</v>
      </c>
      <c r="D610" s="17" t="n">
        <f aca="false">33.26/95*Notas!$B$3</f>
        <v>33.26</v>
      </c>
      <c r="E610" s="17" t="n">
        <f aca="false">16.6/95*Notas!$B$3</f>
        <v>16.6</v>
      </c>
      <c r="F610" s="13" t="n">
        <v>2</v>
      </c>
      <c r="G610" s="17" t="n">
        <f aca="false">14.88/95*Notas!$B$3</f>
        <v>14.88</v>
      </c>
      <c r="H610" s="17" t="n">
        <f aca="false">15.66/95*Notas!$B$3</f>
        <v>15.66</v>
      </c>
      <c r="I610" s="17" t="n">
        <f aca="false">45.55/95*Notas!$B$3</f>
        <v>45.55</v>
      </c>
      <c r="J610" s="17" t="n">
        <f aca="false">89.19/95*Notas!$B$3</f>
        <v>89.19</v>
      </c>
    </row>
    <row r="611" customFormat="false" ht="15" hidden="false" customHeight="false" outlineLevel="0" collapsed="false">
      <c r="A611" s="13" t="s">
        <v>242</v>
      </c>
      <c r="B611" s="13" t="n">
        <v>16</v>
      </c>
      <c r="C611" s="17" t="n">
        <f aca="false">B611/100*Notas!$B$3</f>
        <v>15.2</v>
      </c>
      <c r="D611" s="17" t="n">
        <f aca="false">32.9/95*Notas!$B$3</f>
        <v>32.9</v>
      </c>
      <c r="E611" s="17" t="n">
        <f aca="false">16.62/95*Notas!$B$3</f>
        <v>16.62</v>
      </c>
      <c r="F611" s="13" t="n">
        <v>2</v>
      </c>
      <c r="G611" s="17" t="n">
        <f aca="false">15/95*Notas!$B$3</f>
        <v>15</v>
      </c>
      <c r="H611" s="17" t="n">
        <f aca="false">15.86/95*Notas!$B$3</f>
        <v>15.86</v>
      </c>
      <c r="I611" s="17" t="n">
        <f aca="false">46.14/95*Notas!$B$3</f>
        <v>46.14</v>
      </c>
      <c r="J611" s="17" t="n">
        <f aca="false">89.96/95*Notas!$B$3</f>
        <v>89.96</v>
      </c>
    </row>
    <row r="612" customFormat="false" ht="15" hidden="false" customHeight="false" outlineLevel="0" collapsed="false">
      <c r="A612" s="13" t="s">
        <v>242</v>
      </c>
      <c r="B612" s="13" t="n">
        <v>17</v>
      </c>
      <c r="C612" s="17" t="n">
        <f aca="false">B612/100*Notas!$B$3</f>
        <v>16.15</v>
      </c>
      <c r="D612" s="17" t="n">
        <f aca="false">32.55/95*Notas!$B$3</f>
        <v>32.55</v>
      </c>
      <c r="E612" s="17" t="n">
        <f aca="false">16.64/95*Notas!$B$3</f>
        <v>16.64</v>
      </c>
      <c r="F612" s="13" t="n">
        <v>2</v>
      </c>
      <c r="G612" s="17" t="n">
        <f aca="false">15.13/95*Notas!$B$3</f>
        <v>15.13</v>
      </c>
      <c r="H612" s="17" t="n">
        <f aca="false">16.06/95*Notas!$B$3</f>
        <v>16.06</v>
      </c>
      <c r="I612" s="17" t="n">
        <f aca="false">46.79/95*Notas!$B$3</f>
        <v>46.79</v>
      </c>
      <c r="J612" s="17" t="n">
        <f aca="false">90.81/95*Notas!$B$3</f>
        <v>90.81</v>
      </c>
    </row>
    <row r="613" customFormat="false" ht="15" hidden="false" customHeight="false" outlineLevel="0" collapsed="false">
      <c r="A613" s="13" t="s">
        <v>242</v>
      </c>
      <c r="B613" s="13" t="n">
        <v>18</v>
      </c>
      <c r="C613" s="17" t="n">
        <f aca="false">B613/100*Notas!$B$3</f>
        <v>17.1</v>
      </c>
      <c r="D613" s="17" t="n">
        <f aca="false">32.21/95*Notas!$B$3</f>
        <v>32.21</v>
      </c>
      <c r="E613" s="17" t="n">
        <f aca="false">16.66/95*Notas!$B$3</f>
        <v>16.66</v>
      </c>
      <c r="F613" s="13" t="n">
        <v>2</v>
      </c>
      <c r="G613" s="17" t="n">
        <f aca="false">15.26/95*Notas!$B$3</f>
        <v>15.26</v>
      </c>
      <c r="H613" s="17" t="n">
        <f aca="false">16.28/95*Notas!$B$3</f>
        <v>16.28</v>
      </c>
      <c r="I613" s="17" t="n">
        <f aca="false">47.46/95*Notas!$B$3</f>
        <v>47.46</v>
      </c>
      <c r="J613" s="17" t="n">
        <f aca="false">91.73/95*Notas!$B$3</f>
        <v>91.73</v>
      </c>
    </row>
    <row r="614" customFormat="false" ht="15" hidden="false" customHeight="false" outlineLevel="0" collapsed="false">
      <c r="A614" s="13" t="s">
        <v>242</v>
      </c>
      <c r="B614" s="13" t="n">
        <v>19</v>
      </c>
      <c r="C614" s="17" t="n">
        <f aca="false">B614/100*Notas!$B$3</f>
        <v>18.05</v>
      </c>
      <c r="D614" s="17" t="n">
        <f aca="false">31.87/95*Notas!$B$3</f>
        <v>31.87</v>
      </c>
      <c r="E614" s="17" t="n">
        <f aca="false">16.66/95*Notas!$B$3</f>
        <v>16.66</v>
      </c>
      <c r="F614" s="13" t="n">
        <v>2</v>
      </c>
      <c r="G614" s="17" t="n">
        <f aca="false">15.42/95*Notas!$B$3</f>
        <v>15.42</v>
      </c>
      <c r="H614" s="17" t="n">
        <f aca="false">16.49/95*Notas!$B$3</f>
        <v>16.49</v>
      </c>
      <c r="I614" s="17" t="n">
        <f aca="false">48.15/95*Notas!$B$3</f>
        <v>48.15</v>
      </c>
      <c r="J614" s="17" t="n">
        <f aca="false">92.72/95*Notas!$B$3</f>
        <v>92.72</v>
      </c>
    </row>
    <row r="615" customFormat="false" ht="15" hidden="false" customHeight="false" outlineLevel="0" collapsed="false">
      <c r="A615" s="13" t="s">
        <v>242</v>
      </c>
      <c r="B615" s="13" t="n">
        <v>20</v>
      </c>
      <c r="C615" s="17" t="n">
        <f aca="false">B615/100*Notas!$B$3</f>
        <v>19</v>
      </c>
      <c r="D615" s="17" t="n">
        <f aca="false">31.52/95*Notas!$B$3</f>
        <v>31.52</v>
      </c>
      <c r="E615" s="17" t="n">
        <f aca="false">16.67/95*Notas!$B$3</f>
        <v>16.67</v>
      </c>
      <c r="F615" s="13" t="n">
        <v>2</v>
      </c>
      <c r="G615" s="17" t="n">
        <f aca="false">15.55/95*Notas!$B$3</f>
        <v>15.55</v>
      </c>
      <c r="H615" s="17" t="n">
        <f aca="false">16.67/95*Notas!$B$3</f>
        <v>16.67</v>
      </c>
      <c r="I615" s="17" t="n">
        <f aca="false">48.95/95*Notas!$B$3</f>
        <v>48.95</v>
      </c>
      <c r="J615" s="17" t="n">
        <f aca="false">94.01/95*Notas!$B$3</f>
        <v>94.01</v>
      </c>
    </row>
    <row r="616" customFormat="false" ht="15" hidden="false" customHeight="false" outlineLevel="0" collapsed="false">
      <c r="A616" s="13" t="s">
        <v>242</v>
      </c>
      <c r="B616" s="13" t="n">
        <v>21</v>
      </c>
      <c r="C616" s="17" t="n">
        <f aca="false">B616/100*Notas!$B$3</f>
        <v>19.95</v>
      </c>
      <c r="D616" s="17" t="n">
        <f aca="false">31.26/95*Notas!$B$3</f>
        <v>31.26</v>
      </c>
      <c r="E616" s="17" t="n">
        <f aca="false">16.84/95*Notas!$B$3</f>
        <v>16.84</v>
      </c>
      <c r="F616" s="13" t="n">
        <v>1</v>
      </c>
      <c r="G616" s="17" t="n">
        <f aca="false">31.26/95*Notas!$B$3</f>
        <v>31.26</v>
      </c>
      <c r="H616" s="17" t="n">
        <f aca="false">16.84/95*Notas!$B$3</f>
        <v>16.84</v>
      </c>
      <c r="I616" s="17" t="n">
        <f aca="false">94.05/95*Notas!$B$3</f>
        <v>94.05</v>
      </c>
      <c r="J616" s="17" t="n">
        <f aca="false">94.05/95*Notas!$B$3</f>
        <v>94.05</v>
      </c>
    </row>
    <row r="617" customFormat="false" ht="15" hidden="false" customHeight="false" outlineLevel="0" collapsed="false">
      <c r="A617" s="13" t="s">
        <v>242</v>
      </c>
      <c r="B617" s="13" t="n">
        <v>22</v>
      </c>
      <c r="C617" s="17" t="n">
        <f aca="false">B617/100*Notas!$B$3</f>
        <v>20.9</v>
      </c>
      <c r="D617" s="17" t="n">
        <f aca="false">32.43/95*Notas!$B$3</f>
        <v>32.43</v>
      </c>
      <c r="E617" s="17" t="n">
        <f aca="false">16.72/95*Notas!$B$3</f>
        <v>16.72</v>
      </c>
      <c r="F617" s="13" t="n">
        <v>1</v>
      </c>
      <c r="G617" s="17" t="n">
        <f aca="false">32.43/95*Notas!$B$3</f>
        <v>32.43</v>
      </c>
      <c r="H617" s="17" t="n">
        <f aca="false">16.72/95*Notas!$B$3</f>
        <v>16.72</v>
      </c>
      <c r="I617" s="17" t="n">
        <f aca="false">89.79/95*Notas!$B$3</f>
        <v>89.79</v>
      </c>
      <c r="J617" s="17" t="n">
        <f aca="false">89.79/95*Notas!$B$3</f>
        <v>89.79</v>
      </c>
    </row>
    <row r="618" customFormat="false" ht="15" hidden="false" customHeight="false" outlineLevel="0" collapsed="false">
      <c r="A618" s="13" t="s">
        <v>242</v>
      </c>
      <c r="B618" s="13" t="n">
        <v>23</v>
      </c>
      <c r="C618" s="17" t="n">
        <f aca="false">B618/100*Notas!$B$3</f>
        <v>21.85</v>
      </c>
      <c r="D618" s="17" t="n">
        <f aca="false">33.04/95*Notas!$B$3</f>
        <v>33.04</v>
      </c>
      <c r="E618" s="17" t="n">
        <f aca="false">16.58/95*Notas!$B$3</f>
        <v>16.58</v>
      </c>
      <c r="F618" s="13" t="n">
        <v>1</v>
      </c>
      <c r="G618" s="17" t="n">
        <f aca="false">33.04/95*Notas!$B$3</f>
        <v>33.04</v>
      </c>
      <c r="H618" s="17" t="n">
        <f aca="false">16.58/95*Notas!$B$3</f>
        <v>16.58</v>
      </c>
      <c r="I618" s="17" t="n">
        <f aca="false">87.83/95*Notas!$B$3</f>
        <v>87.83</v>
      </c>
      <c r="J618" s="17" t="n">
        <f aca="false">87.83/95*Notas!$B$3</f>
        <v>87.83</v>
      </c>
    </row>
    <row r="619" customFormat="false" ht="15" hidden="false" customHeight="false" outlineLevel="0" collapsed="false">
      <c r="A619" s="13" t="s">
        <v>242</v>
      </c>
      <c r="B619" s="13" t="n">
        <v>24</v>
      </c>
      <c r="C619" s="17" t="n">
        <f aca="false">B619/100*Notas!$B$3</f>
        <v>22.8</v>
      </c>
      <c r="D619" s="17" t="n">
        <f aca="false">35.18/95*Notas!$B$3</f>
        <v>35.18</v>
      </c>
      <c r="E619" s="17" t="n">
        <f aca="false">16.94/95*Notas!$B$3</f>
        <v>16.94</v>
      </c>
      <c r="F619" s="13" t="n">
        <v>1</v>
      </c>
      <c r="G619" s="17" t="n">
        <f aca="false">35.18/95*Notas!$B$3</f>
        <v>35.18</v>
      </c>
      <c r="H619" s="17" t="n">
        <f aca="false">16.94/95*Notas!$B$3</f>
        <v>16.94</v>
      </c>
      <c r="I619" s="17" t="n">
        <f aca="false">95.73/95*Notas!$B$3</f>
        <v>95.73</v>
      </c>
      <c r="J619" s="17" t="n">
        <f aca="false">95.73/95*Notas!$B$3</f>
        <v>95.73</v>
      </c>
    </row>
    <row r="620" customFormat="false" ht="15" hidden="false" customHeight="false" outlineLevel="0" collapsed="false">
      <c r="A620" s="13" t="s">
        <v>242</v>
      </c>
      <c r="B620" s="13" t="n">
        <v>25</v>
      </c>
      <c r="C620" s="17" t="n">
        <f aca="false">B620/100*Notas!$B$3</f>
        <v>23.75</v>
      </c>
      <c r="D620" s="17" t="n">
        <f aca="false">36.38/95*Notas!$B$3</f>
        <v>36.38</v>
      </c>
      <c r="E620" s="17" t="n">
        <f aca="false">17.41/95*Notas!$B$3</f>
        <v>17.41</v>
      </c>
      <c r="F620" s="13" t="n">
        <v>1</v>
      </c>
      <c r="G620" s="17" t="n">
        <f aca="false">36.38/95*Notas!$B$3</f>
        <v>36.38</v>
      </c>
      <c r="H620" s="17" t="n">
        <f aca="false">17.41/95*Notas!$B$3</f>
        <v>17.41</v>
      </c>
      <c r="I620" s="17" t="n">
        <f aca="false">92.12/95*Notas!$B$3</f>
        <v>92.12</v>
      </c>
      <c r="J620" s="17" t="n">
        <f aca="false">92.12/95*Notas!$B$3</f>
        <v>92.12</v>
      </c>
    </row>
    <row r="621" customFormat="false" ht="15" hidden="false" customHeight="false" outlineLevel="0" collapsed="false">
      <c r="A621" s="13" t="s">
        <v>242</v>
      </c>
      <c r="B621" s="13" t="n">
        <v>26</v>
      </c>
      <c r="C621" s="17" t="n">
        <f aca="false">B621/100*Notas!$B$3</f>
        <v>24.7</v>
      </c>
      <c r="D621" s="17" t="n">
        <f aca="false">37.42/95*Notas!$B$3</f>
        <v>37.42</v>
      </c>
      <c r="E621" s="17" t="n">
        <f aca="false">17.58/95*Notas!$B$3</f>
        <v>17.58</v>
      </c>
      <c r="F621" s="13" t="n">
        <v>1</v>
      </c>
      <c r="G621" s="17" t="n">
        <f aca="false">37.42/95*Notas!$B$3</f>
        <v>37.42</v>
      </c>
      <c r="H621" s="17" t="n">
        <f aca="false">17.58/95*Notas!$B$3</f>
        <v>17.58</v>
      </c>
      <c r="I621" s="17" t="n">
        <f aca="false">94.12/95*Notas!$B$3</f>
        <v>94.12</v>
      </c>
      <c r="J621" s="17" t="n">
        <f aca="false">94.12/95*Notas!$B$3</f>
        <v>94.12</v>
      </c>
    </row>
    <row r="622" customFormat="false" ht="15" hidden="false" customHeight="false" outlineLevel="0" collapsed="false">
      <c r="A622" s="13" t="s">
        <v>242</v>
      </c>
      <c r="B622" s="13" t="n">
        <v>27</v>
      </c>
      <c r="C622" s="17" t="n">
        <f aca="false">B622/100*Notas!$B$3</f>
        <v>25.65</v>
      </c>
      <c r="D622" s="17" t="n">
        <f aca="false">38.35/95*Notas!$B$3</f>
        <v>38.35</v>
      </c>
      <c r="E622" s="17" t="n">
        <f aca="false">17.61/95*Notas!$B$3</f>
        <v>17.61</v>
      </c>
      <c r="F622" s="13" t="n">
        <v>1</v>
      </c>
      <c r="G622" s="17" t="n">
        <f aca="false">38.35/95*Notas!$B$3</f>
        <v>38.35</v>
      </c>
      <c r="H622" s="17" t="n">
        <f aca="false">17.61/95*Notas!$B$3</f>
        <v>17.61</v>
      </c>
      <c r="I622" s="17" t="n">
        <f aca="false">95.99/95*Notas!$B$3</f>
        <v>95.99</v>
      </c>
      <c r="J622" s="17" t="n">
        <f aca="false">95.99/95*Notas!$B$3</f>
        <v>95.99</v>
      </c>
    </row>
    <row r="623" customFormat="false" ht="15" hidden="false" customHeight="false" outlineLevel="0" collapsed="false">
      <c r="A623" s="13" t="s">
        <v>242</v>
      </c>
      <c r="B623" s="13" t="n">
        <v>28</v>
      </c>
      <c r="C623" s="17" t="n">
        <f aca="false">B623/100*Notas!$B$3</f>
        <v>26.6</v>
      </c>
      <c r="D623" s="17" t="n">
        <f aca="false">39.21/95*Notas!$B$3</f>
        <v>39.21</v>
      </c>
      <c r="E623" s="17" t="n">
        <f aca="false">18.85/95*Notas!$B$3</f>
        <v>18.85</v>
      </c>
      <c r="F623" s="13" t="n">
        <v>2</v>
      </c>
      <c r="G623" s="17" t="n">
        <f aca="false">39.21/95*Notas!$B$3</f>
        <v>39.21</v>
      </c>
      <c r="H623" s="17" t="n">
        <f aca="false">18.79/95*Notas!$B$3</f>
        <v>18.79</v>
      </c>
      <c r="I623" s="17" t="n">
        <f aca="false">104.05/95*Notas!$B$3</f>
        <v>104.05</v>
      </c>
      <c r="J623" s="17" t="n">
        <f aca="false">107.14/95*Notas!$B$3</f>
        <v>107.14</v>
      </c>
    </row>
    <row r="624" customFormat="false" ht="15" hidden="false" customHeight="false" outlineLevel="0" collapsed="false">
      <c r="A624" s="13" t="s">
        <v>242</v>
      </c>
      <c r="B624" s="13" t="n">
        <v>29</v>
      </c>
      <c r="C624" s="17" t="n">
        <f aca="false">B624/100*Notas!$B$3</f>
        <v>27.55</v>
      </c>
      <c r="D624" s="17" t="n">
        <f aca="false">41.16/95*Notas!$B$3</f>
        <v>41.16</v>
      </c>
      <c r="E624" s="17" t="n">
        <f aca="false">18.67/95*Notas!$B$3</f>
        <v>18.67</v>
      </c>
      <c r="F624" s="13" t="n">
        <v>2</v>
      </c>
      <c r="G624" s="17" t="n">
        <f aca="false">40.02/95*Notas!$B$3</f>
        <v>40.02</v>
      </c>
      <c r="H624" s="17" t="n">
        <f aca="false">18.67/95*Notas!$B$3</f>
        <v>18.67</v>
      </c>
      <c r="I624" s="17" t="n">
        <f aca="false">108.99/95*Notas!$B$3</f>
        <v>108.99</v>
      </c>
      <c r="J624" s="17" t="n">
        <f aca="false">113.15/95*Notas!$B$3</f>
        <v>113.15</v>
      </c>
    </row>
    <row r="625" customFormat="false" ht="15" hidden="false" customHeight="false" outlineLevel="0" collapsed="false">
      <c r="A625" s="13" t="s">
        <v>242</v>
      </c>
      <c r="B625" s="13" t="n">
        <v>30</v>
      </c>
      <c r="C625" s="17" t="n">
        <f aca="false">B625/100*Notas!$B$3</f>
        <v>28.5</v>
      </c>
      <c r="D625" s="17" t="n">
        <f aca="false">43.23/95*Notas!$B$3</f>
        <v>43.23</v>
      </c>
      <c r="E625" s="17" t="n">
        <f aca="false">18.41/95*Notas!$B$3</f>
        <v>18.41</v>
      </c>
      <c r="F625" s="13" t="n">
        <v>2</v>
      </c>
      <c r="G625" s="17" t="n">
        <f aca="false">31.18/95*Notas!$B$3</f>
        <v>31.18</v>
      </c>
      <c r="H625" s="17" t="n">
        <f aca="false">18.41/95*Notas!$B$3</f>
        <v>18.41</v>
      </c>
      <c r="I625" s="17" t="n">
        <f aca="false">85.73/95*Notas!$B$3</f>
        <v>85.73</v>
      </c>
      <c r="J625" s="17" t="n">
        <f aca="false">125.11/95*Notas!$B$3</f>
        <v>125.11</v>
      </c>
    </row>
    <row r="626" customFormat="false" ht="15" hidden="false" customHeight="false" outlineLevel="0" collapsed="false">
      <c r="A626" s="13" t="s">
        <v>242</v>
      </c>
      <c r="B626" s="13" t="n">
        <v>31</v>
      </c>
      <c r="C626" s="17" t="n">
        <f aca="false">B626/100*Notas!$B$3</f>
        <v>29.45</v>
      </c>
      <c r="D626" s="17" t="n">
        <f aca="false">43.75/95*Notas!$B$3</f>
        <v>43.75</v>
      </c>
      <c r="E626" s="17" t="n">
        <f aca="false">18.2/95*Notas!$B$3</f>
        <v>18.2</v>
      </c>
      <c r="F626" s="13" t="n">
        <v>2</v>
      </c>
      <c r="G626" s="17" t="n">
        <f aca="false">30.97/95*Notas!$B$3</f>
        <v>30.97</v>
      </c>
      <c r="H626" s="17" t="n">
        <f aca="false">18.2/95*Notas!$B$3</f>
        <v>18.2</v>
      </c>
      <c r="I626" s="17" t="n">
        <f aca="false">90.68/95*Notas!$B$3</f>
        <v>90.68</v>
      </c>
      <c r="J626" s="17" t="n">
        <f aca="false">131.71/95*Notas!$B$3</f>
        <v>131.71</v>
      </c>
    </row>
    <row r="627" customFormat="false" ht="15" hidden="false" customHeight="false" outlineLevel="0" collapsed="false">
      <c r="A627" s="13" t="s">
        <v>242</v>
      </c>
      <c r="B627" s="13" t="n">
        <v>32</v>
      </c>
      <c r="C627" s="17" t="n">
        <f aca="false">B627/100*Notas!$B$3</f>
        <v>30.4</v>
      </c>
      <c r="D627" s="17" t="n">
        <f aca="false">45.12/95*Notas!$B$3</f>
        <v>45.12</v>
      </c>
      <c r="E627" s="17" t="n">
        <f aca="false">18.43/95*Notas!$B$3</f>
        <v>18.43</v>
      </c>
      <c r="F627" s="13" t="n">
        <v>2</v>
      </c>
      <c r="G627" s="17" t="n">
        <f aca="false">32.76/95*Notas!$B$3</f>
        <v>32.76</v>
      </c>
      <c r="H627" s="17" t="n">
        <f aca="false">18.43/95*Notas!$B$3</f>
        <v>18.43</v>
      </c>
      <c r="I627" s="17" t="n">
        <f aca="false">92.67/95*Notas!$B$3</f>
        <v>92.67</v>
      </c>
      <c r="J627" s="17" t="n">
        <f aca="false">134/95*Notas!$B$3</f>
        <v>134</v>
      </c>
    </row>
    <row r="628" customFormat="false" ht="15" hidden="false" customHeight="false" outlineLevel="0" collapsed="false">
      <c r="A628" s="13" t="s">
        <v>242</v>
      </c>
      <c r="B628" s="13" t="n">
        <v>33</v>
      </c>
      <c r="C628" s="17" t="n">
        <f aca="false">B628/100*Notas!$B$3</f>
        <v>31.35</v>
      </c>
      <c r="D628" s="17" t="n">
        <f aca="false">46.3/95*Notas!$B$3</f>
        <v>46.3</v>
      </c>
      <c r="E628" s="17" t="n">
        <f aca="false">18.84/95*Notas!$B$3</f>
        <v>18.84</v>
      </c>
      <c r="F628" s="13" t="n">
        <v>2</v>
      </c>
      <c r="G628" s="17" t="n">
        <f aca="false">34.14/95*Notas!$B$3</f>
        <v>34.14</v>
      </c>
      <c r="H628" s="17" t="n">
        <f aca="false">18.84/95*Notas!$B$3</f>
        <v>18.84</v>
      </c>
      <c r="I628" s="17" t="n">
        <f aca="false">96.51/95*Notas!$B$3</f>
        <v>96.51</v>
      </c>
      <c r="J628" s="17" t="n">
        <f aca="false">135.93/95*Notas!$B$3</f>
        <v>135.93</v>
      </c>
    </row>
    <row r="629" customFormat="false" ht="15" hidden="false" customHeight="false" outlineLevel="0" collapsed="false">
      <c r="A629" s="13" t="s">
        <v>242</v>
      </c>
      <c r="B629" s="13" t="n">
        <v>34</v>
      </c>
      <c r="C629" s="17" t="n">
        <f aca="false">B629/100*Notas!$B$3</f>
        <v>32.3</v>
      </c>
      <c r="D629" s="17" t="n">
        <f aca="false">46.47/95*Notas!$B$3</f>
        <v>46.47</v>
      </c>
      <c r="E629" s="17" t="n">
        <f aca="false">19.55/95*Notas!$B$3</f>
        <v>19.55</v>
      </c>
      <c r="F629" s="13" t="n">
        <v>2</v>
      </c>
      <c r="G629" s="17" t="n">
        <f aca="false">34.15/95*Notas!$B$3</f>
        <v>34.15</v>
      </c>
      <c r="H629" s="17" t="n">
        <f aca="false">19.55/95*Notas!$B$3</f>
        <v>19.55</v>
      </c>
      <c r="I629" s="17" t="n">
        <f aca="false">103.18/95*Notas!$B$3</f>
        <v>103.18</v>
      </c>
      <c r="J629" s="17" t="n">
        <f aca="false">143.59/95*Notas!$B$3</f>
        <v>143.59</v>
      </c>
    </row>
    <row r="630" customFormat="false" ht="15" hidden="false" customHeight="false" outlineLevel="0" collapsed="false">
      <c r="A630" s="13" t="s">
        <v>242</v>
      </c>
      <c r="B630" s="13" t="n">
        <v>35</v>
      </c>
      <c r="C630" s="17" t="n">
        <f aca="false">B630/100*Notas!$B$3</f>
        <v>33.25</v>
      </c>
      <c r="D630" s="17" t="n">
        <f aca="false">46.66/95*Notas!$B$3</f>
        <v>46.66</v>
      </c>
      <c r="E630" s="17" t="n">
        <f aca="false">20.79/95*Notas!$B$3</f>
        <v>20.79</v>
      </c>
      <c r="F630" s="13" t="n">
        <v>2</v>
      </c>
      <c r="G630" s="17" t="n">
        <f aca="false">33.44/95*Notas!$B$3</f>
        <v>33.44</v>
      </c>
      <c r="H630" s="17" t="n">
        <f aca="false">20.79/95*Notas!$B$3</f>
        <v>20.79</v>
      </c>
      <c r="I630" s="17" t="n">
        <f aca="false">105.79/95*Notas!$B$3</f>
        <v>105.79</v>
      </c>
      <c r="J630" s="17" t="n">
        <f aca="false">146.65/95*Notas!$B$3</f>
        <v>146.65</v>
      </c>
    </row>
    <row r="631" customFormat="false" ht="15" hidden="false" customHeight="false" outlineLevel="0" collapsed="false">
      <c r="A631" s="13" t="s">
        <v>242</v>
      </c>
      <c r="B631" s="13" t="n">
        <v>36</v>
      </c>
      <c r="C631" s="17" t="n">
        <f aca="false">B631/100*Notas!$B$3</f>
        <v>34.2</v>
      </c>
      <c r="D631" s="17" t="n">
        <f aca="false">46.86/95*Notas!$B$3</f>
        <v>46.86</v>
      </c>
      <c r="E631" s="17" t="n">
        <f aca="false">21.41/95*Notas!$B$3</f>
        <v>21.41</v>
      </c>
      <c r="F631" s="13" t="n">
        <v>3</v>
      </c>
      <c r="G631" s="17" t="n">
        <f aca="false">20.53/95*Notas!$B$3</f>
        <v>20.53</v>
      </c>
      <c r="H631" s="17" t="n">
        <f aca="false">19/95*Notas!$B$3</f>
        <v>19</v>
      </c>
      <c r="I631" s="17" t="n">
        <f aca="false">65.92/95*Notas!$B$3</f>
        <v>65.92</v>
      </c>
      <c r="J631" s="17" t="n">
        <f aca="false">146.69/95*Notas!$B$3</f>
        <v>146.69</v>
      </c>
    </row>
    <row r="632" customFormat="false" ht="15" hidden="false" customHeight="false" outlineLevel="0" collapsed="false">
      <c r="A632" s="13" t="s">
        <v>242</v>
      </c>
      <c r="B632" s="13" t="n">
        <v>37</v>
      </c>
      <c r="C632" s="17" t="n">
        <f aca="false">B632/100*Notas!$B$3</f>
        <v>35.15</v>
      </c>
      <c r="D632" s="17" t="n">
        <f aca="false">46.2/95*Notas!$B$3</f>
        <v>46.2</v>
      </c>
      <c r="E632" s="17" t="n">
        <f aca="false">21.69/95*Notas!$B$3</f>
        <v>21.69</v>
      </c>
      <c r="F632" s="13" t="n">
        <v>3</v>
      </c>
      <c r="G632" s="17" t="n">
        <f aca="false">20.04/95*Notas!$B$3</f>
        <v>20.04</v>
      </c>
      <c r="H632" s="17" t="n">
        <f aca="false">19.13/95*Notas!$B$3</f>
        <v>19.13</v>
      </c>
      <c r="I632" s="17" t="n">
        <f aca="false">65.73/95*Notas!$B$3</f>
        <v>65.73</v>
      </c>
      <c r="J632" s="17" t="n">
        <f aca="false">141.47/95*Notas!$B$3</f>
        <v>141.47</v>
      </c>
    </row>
    <row r="633" customFormat="false" ht="15" hidden="false" customHeight="false" outlineLevel="0" collapsed="false">
      <c r="A633" s="13" t="s">
        <v>242</v>
      </c>
      <c r="B633" s="13" t="n">
        <v>38</v>
      </c>
      <c r="C633" s="17" t="n">
        <f aca="false">B633/100*Notas!$B$3</f>
        <v>36.1</v>
      </c>
      <c r="D633" s="17" t="n">
        <f aca="false">44.77/95*Notas!$B$3</f>
        <v>44.77</v>
      </c>
      <c r="E633" s="17" t="n">
        <f aca="false">21.45/95*Notas!$B$3</f>
        <v>21.45</v>
      </c>
      <c r="F633" s="13" t="n">
        <v>3</v>
      </c>
      <c r="G633" s="17" t="n">
        <f aca="false">19.85/95*Notas!$B$3</f>
        <v>19.85</v>
      </c>
      <c r="H633" s="17" t="n">
        <f aca="false">19.26/95*Notas!$B$3</f>
        <v>19.26</v>
      </c>
      <c r="I633" s="17" t="n">
        <f aca="false">65.96/95*Notas!$B$3</f>
        <v>65.96</v>
      </c>
      <c r="J633" s="17" t="n">
        <f aca="false">140.35/95*Notas!$B$3</f>
        <v>140.35</v>
      </c>
    </row>
    <row r="634" customFormat="false" ht="15" hidden="false" customHeight="false" outlineLevel="0" collapsed="false">
      <c r="A634" s="13" t="s">
        <v>242</v>
      </c>
      <c r="B634" s="13" t="n">
        <v>39</v>
      </c>
      <c r="C634" s="17" t="n">
        <f aca="false">B634/100*Notas!$B$3</f>
        <v>37.05</v>
      </c>
      <c r="D634" s="17" t="n">
        <f aca="false">42.46/95*Notas!$B$3</f>
        <v>42.46</v>
      </c>
      <c r="E634" s="17" t="n">
        <f aca="false">21.03/95*Notas!$B$3</f>
        <v>21.03</v>
      </c>
      <c r="F634" s="13" t="n">
        <v>3</v>
      </c>
      <c r="G634" s="17" t="n">
        <f aca="false">19.97/95*Notas!$B$3</f>
        <v>19.97</v>
      </c>
      <c r="H634" s="17" t="n">
        <f aca="false">19.43/95*Notas!$B$3</f>
        <v>19.43</v>
      </c>
      <c r="I634" s="17" t="n">
        <f aca="false">66.13/95*Notas!$B$3</f>
        <v>66.13</v>
      </c>
      <c r="J634" s="17" t="n">
        <f aca="false">132.33/95*Notas!$B$3</f>
        <v>132.33</v>
      </c>
    </row>
    <row r="635" customFormat="false" ht="15" hidden="false" customHeight="false" outlineLevel="0" collapsed="false">
      <c r="A635" s="13" t="s">
        <v>242</v>
      </c>
      <c r="B635" s="13" t="n">
        <v>40</v>
      </c>
      <c r="C635" s="17" t="n">
        <f aca="false">B635/100*Notas!$B$3</f>
        <v>38</v>
      </c>
      <c r="D635" s="17" t="n">
        <f aca="false">41.69/95*Notas!$B$3</f>
        <v>41.69</v>
      </c>
      <c r="E635" s="17" t="n">
        <f aca="false">20.97/95*Notas!$B$3</f>
        <v>20.97</v>
      </c>
      <c r="F635" s="13" t="n">
        <v>3</v>
      </c>
      <c r="G635" s="17" t="n">
        <f aca="false">20.27/95*Notas!$B$3</f>
        <v>20.27</v>
      </c>
      <c r="H635" s="17" t="n">
        <f aca="false">19.45/95*Notas!$B$3</f>
        <v>19.45</v>
      </c>
      <c r="I635" s="17" t="n">
        <f aca="false">68.93/95*Notas!$B$3</f>
        <v>68.93</v>
      </c>
      <c r="J635" s="17" t="n">
        <f aca="false">136.32/95*Notas!$B$3</f>
        <v>136.32</v>
      </c>
    </row>
    <row r="636" customFormat="false" ht="15" hidden="false" customHeight="false" outlineLevel="0" collapsed="false">
      <c r="A636" s="13" t="s">
        <v>242</v>
      </c>
      <c r="B636" s="13" t="n">
        <v>41</v>
      </c>
      <c r="C636" s="17" t="n">
        <f aca="false">B636/100*Notas!$B$3</f>
        <v>38.95</v>
      </c>
      <c r="D636" s="17" t="n">
        <f aca="false">41.01/95*Notas!$B$3</f>
        <v>41.01</v>
      </c>
      <c r="E636" s="17" t="n">
        <f aca="false">21.03/95*Notas!$B$3</f>
        <v>21.03</v>
      </c>
      <c r="F636" s="13" t="n">
        <v>3</v>
      </c>
      <c r="G636" s="17" t="n">
        <f aca="false">29.59/95*Notas!$B$3</f>
        <v>29.59</v>
      </c>
      <c r="H636" s="17" t="n">
        <f aca="false">19.69/95*Notas!$B$3</f>
        <v>19.69</v>
      </c>
      <c r="I636" s="17" t="n">
        <f aca="false">95.22/95*Notas!$B$3</f>
        <v>95.22</v>
      </c>
      <c r="J636" s="17" t="n">
        <f aca="false">135.56/95*Notas!$B$3</f>
        <v>135.56</v>
      </c>
    </row>
    <row r="637" customFormat="false" ht="15" hidden="false" customHeight="false" outlineLevel="0" collapsed="false">
      <c r="A637" s="13" t="s">
        <v>242</v>
      </c>
      <c r="B637" s="13" t="n">
        <v>42</v>
      </c>
      <c r="C637" s="17" t="n">
        <f aca="false">B637/100*Notas!$B$3</f>
        <v>39.9</v>
      </c>
      <c r="D637" s="17" t="n">
        <f aca="false">39.36/95*Notas!$B$3</f>
        <v>39.36</v>
      </c>
      <c r="E637" s="17" t="n">
        <f aca="false">20.78/95*Notas!$B$3</f>
        <v>20.78</v>
      </c>
      <c r="F637" s="13" t="n">
        <v>1</v>
      </c>
      <c r="G637" s="17" t="n">
        <f aca="false">39.36/95*Notas!$B$3</f>
        <v>39.36</v>
      </c>
      <c r="H637" s="17" t="n">
        <f aca="false">20.78/95*Notas!$B$3</f>
        <v>20.78</v>
      </c>
      <c r="I637" s="17" t="n">
        <f aca="false">112.45/95*Notas!$B$3</f>
        <v>112.45</v>
      </c>
      <c r="J637" s="17" t="n">
        <f aca="false">112.45/95*Notas!$B$3</f>
        <v>112.45</v>
      </c>
    </row>
    <row r="638" customFormat="false" ht="15" hidden="false" customHeight="false" outlineLevel="0" collapsed="false">
      <c r="A638" s="13" t="s">
        <v>242</v>
      </c>
      <c r="B638" s="13" t="n">
        <v>43</v>
      </c>
      <c r="C638" s="17" t="n">
        <f aca="false">B638/100*Notas!$B$3</f>
        <v>40.85</v>
      </c>
      <c r="D638" s="17" t="n">
        <f aca="false">37.94/95*Notas!$B$3</f>
        <v>37.94</v>
      </c>
      <c r="E638" s="17" t="n">
        <f aca="false">20.42/95*Notas!$B$3</f>
        <v>20.42</v>
      </c>
      <c r="F638" s="13" t="n">
        <v>1</v>
      </c>
      <c r="G638" s="17" t="n">
        <f aca="false">37.94/95*Notas!$B$3</f>
        <v>37.94</v>
      </c>
      <c r="H638" s="17" t="n">
        <f aca="false">20.42/95*Notas!$B$3</f>
        <v>20.42</v>
      </c>
      <c r="I638" s="17" t="n">
        <f aca="false">103.57/95*Notas!$B$3</f>
        <v>103.57</v>
      </c>
      <c r="J638" s="17" t="n">
        <f aca="false">103.57/95*Notas!$B$3</f>
        <v>103.57</v>
      </c>
    </row>
    <row r="639" customFormat="false" ht="15" hidden="false" customHeight="false" outlineLevel="0" collapsed="false">
      <c r="A639" s="13" t="s">
        <v>242</v>
      </c>
      <c r="B639" s="13" t="n">
        <v>44</v>
      </c>
      <c r="C639" s="17" t="n">
        <f aca="false">B639/100*Notas!$B$3</f>
        <v>41.8</v>
      </c>
      <c r="D639" s="17" t="n">
        <f aca="false">36.98/95*Notas!$B$3</f>
        <v>36.98</v>
      </c>
      <c r="E639" s="17" t="n">
        <f aca="false">20.15/95*Notas!$B$3</f>
        <v>20.15</v>
      </c>
      <c r="F639" s="13" t="n">
        <v>1</v>
      </c>
      <c r="G639" s="17" t="n">
        <f aca="false">36.98/95*Notas!$B$3</f>
        <v>36.98</v>
      </c>
      <c r="H639" s="17" t="n">
        <f aca="false">20.15/95*Notas!$B$3</f>
        <v>20.15</v>
      </c>
      <c r="I639" s="17" t="n">
        <f aca="false">99.59/95*Notas!$B$3</f>
        <v>99.59</v>
      </c>
      <c r="J639" s="17" t="n">
        <f aca="false">99.59/95*Notas!$B$3</f>
        <v>99.59</v>
      </c>
    </row>
    <row r="640" customFormat="false" ht="15" hidden="false" customHeight="false" outlineLevel="0" collapsed="false">
      <c r="A640" s="13" t="s">
        <v>242</v>
      </c>
      <c r="B640" s="13" t="n">
        <v>45</v>
      </c>
      <c r="C640" s="17" t="n">
        <f aca="false">B640/100*Notas!$B$3</f>
        <v>42.75</v>
      </c>
      <c r="D640" s="17" t="n">
        <f aca="false">36.05/95*Notas!$B$3</f>
        <v>36.05</v>
      </c>
      <c r="E640" s="17" t="n">
        <f aca="false">20.09/95*Notas!$B$3</f>
        <v>20.09</v>
      </c>
      <c r="F640" s="13" t="n">
        <v>1</v>
      </c>
      <c r="G640" s="17" t="n">
        <f aca="false">36.05/95*Notas!$B$3</f>
        <v>36.05</v>
      </c>
      <c r="H640" s="17" t="n">
        <f aca="false">20.09/95*Notas!$B$3</f>
        <v>20.09</v>
      </c>
      <c r="I640" s="17" t="n">
        <f aca="false">97.91/95*Notas!$B$3</f>
        <v>97.91</v>
      </c>
      <c r="J640" s="17" t="n">
        <f aca="false">97.91/95*Notas!$B$3</f>
        <v>97.91</v>
      </c>
    </row>
    <row r="641" customFormat="false" ht="15" hidden="false" customHeight="false" outlineLevel="0" collapsed="false">
      <c r="A641" s="13" t="s">
        <v>242</v>
      </c>
      <c r="B641" s="13" t="n">
        <v>46</v>
      </c>
      <c r="C641" s="17" t="n">
        <f aca="false">B641/100*Notas!$B$3</f>
        <v>43.7</v>
      </c>
      <c r="D641" s="17" t="n">
        <f aca="false">35.15/95*Notas!$B$3</f>
        <v>35.15</v>
      </c>
      <c r="E641" s="17" t="n">
        <f aca="false">19.97/95*Notas!$B$3</f>
        <v>19.97</v>
      </c>
      <c r="F641" s="13" t="n">
        <v>1</v>
      </c>
      <c r="G641" s="17" t="n">
        <f aca="false">35.15/95*Notas!$B$3</f>
        <v>35.15</v>
      </c>
      <c r="H641" s="17" t="n">
        <f aca="false">19.97/95*Notas!$B$3</f>
        <v>19.97</v>
      </c>
      <c r="I641" s="17" t="n">
        <f aca="false">97.27/95*Notas!$B$3</f>
        <v>97.27</v>
      </c>
      <c r="J641" s="17" t="n">
        <f aca="false">97.27/95*Notas!$B$3</f>
        <v>97.27</v>
      </c>
    </row>
    <row r="642" customFormat="false" ht="15" hidden="false" customHeight="false" outlineLevel="0" collapsed="false">
      <c r="A642" s="13" t="s">
        <v>242</v>
      </c>
      <c r="B642" s="13" t="n">
        <v>47</v>
      </c>
      <c r="C642" s="17" t="n">
        <f aca="false">B642/100*Notas!$B$3</f>
        <v>44.65</v>
      </c>
      <c r="D642" s="17" t="n">
        <f aca="false">34.05/95*Notas!$B$3</f>
        <v>34.05</v>
      </c>
      <c r="E642" s="17" t="n">
        <f aca="false">19.02/95*Notas!$B$3</f>
        <v>19.02</v>
      </c>
      <c r="F642" s="13" t="n">
        <v>1</v>
      </c>
      <c r="G642" s="17" t="n">
        <f aca="false">34.05/95*Notas!$B$3</f>
        <v>34.05</v>
      </c>
      <c r="H642" s="17" t="n">
        <f aca="false">19.02/95*Notas!$B$3</f>
        <v>19.02</v>
      </c>
      <c r="I642" s="17" t="n">
        <f aca="false">98.02/95*Notas!$B$3</f>
        <v>98.02</v>
      </c>
      <c r="J642" s="17" t="n">
        <f aca="false">98.02/95*Notas!$B$3</f>
        <v>98.02</v>
      </c>
    </row>
    <row r="643" customFormat="false" ht="15" hidden="false" customHeight="false" outlineLevel="0" collapsed="false">
      <c r="A643" s="13" t="s">
        <v>242</v>
      </c>
      <c r="B643" s="13" t="n">
        <v>48</v>
      </c>
      <c r="C643" s="17" t="n">
        <f aca="false">B643/100*Notas!$B$3</f>
        <v>45.6</v>
      </c>
      <c r="D643" s="17" t="n">
        <f aca="false">32.94/95*Notas!$B$3</f>
        <v>32.94</v>
      </c>
      <c r="E643" s="17" t="n">
        <f aca="false">17.57/95*Notas!$B$3</f>
        <v>17.57</v>
      </c>
      <c r="F643" s="13" t="n">
        <v>1</v>
      </c>
      <c r="G643" s="17" t="n">
        <f aca="false">32.94/95*Notas!$B$3</f>
        <v>32.94</v>
      </c>
      <c r="H643" s="17" t="n">
        <f aca="false">17.57/95*Notas!$B$3</f>
        <v>17.57</v>
      </c>
      <c r="I643" s="17" t="n">
        <f aca="false">95.07/95*Notas!$B$3</f>
        <v>95.07</v>
      </c>
      <c r="J643" s="17" t="n">
        <f aca="false">95.07/95*Notas!$B$3</f>
        <v>95.07</v>
      </c>
    </row>
    <row r="644" customFormat="false" ht="15" hidden="false" customHeight="false" outlineLevel="0" collapsed="false">
      <c r="A644" s="13" t="s">
        <v>242</v>
      </c>
      <c r="B644" s="13" t="n">
        <v>49</v>
      </c>
      <c r="C644" s="17" t="n">
        <f aca="false">B644/100*Notas!$B$3</f>
        <v>46.55</v>
      </c>
      <c r="D644" s="17" t="n">
        <f aca="false">31.53/95*Notas!$B$3</f>
        <v>31.53</v>
      </c>
      <c r="E644" s="17" t="n">
        <f aca="false">15.53/95*Notas!$B$3</f>
        <v>15.53</v>
      </c>
      <c r="F644" s="13" t="n">
        <v>1</v>
      </c>
      <c r="G644" s="17" t="n">
        <f aca="false">31.53/95*Notas!$B$3</f>
        <v>31.53</v>
      </c>
      <c r="H644" s="17" t="n">
        <f aca="false">15.53/95*Notas!$B$3</f>
        <v>15.53</v>
      </c>
      <c r="I644" s="17" t="n">
        <f aca="false">86.14/95*Notas!$B$3</f>
        <v>86.14</v>
      </c>
      <c r="J644" s="17" t="n">
        <f aca="false">86.14/95*Notas!$B$3</f>
        <v>86.14</v>
      </c>
    </row>
    <row r="645" customFormat="false" ht="15" hidden="false" customHeight="false" outlineLevel="0" collapsed="false">
      <c r="A645" s="13" t="s">
        <v>242</v>
      </c>
      <c r="B645" s="13" t="n">
        <v>50</v>
      </c>
      <c r="C645" s="17" t="n">
        <f aca="false">B645/100*Notas!$B$3</f>
        <v>47.5</v>
      </c>
      <c r="D645" s="17" t="n">
        <f aca="false">28.42/95*Notas!$B$3</f>
        <v>28.42</v>
      </c>
      <c r="E645" s="17" t="n">
        <f aca="false">12.97/95*Notas!$B$3</f>
        <v>12.97</v>
      </c>
      <c r="F645" s="13" t="n">
        <v>1</v>
      </c>
      <c r="G645" s="17" t="n">
        <f aca="false">28.42/95*Notas!$B$3</f>
        <v>28.42</v>
      </c>
      <c r="H645" s="17" t="n">
        <f aca="false">12.97/95*Notas!$B$3</f>
        <v>12.97</v>
      </c>
      <c r="I645" s="17" t="n">
        <f aca="false">75.91/95*Notas!$B$3</f>
        <v>75.91</v>
      </c>
      <c r="J645" s="17" t="n">
        <f aca="false">75.91/95*Notas!$B$3</f>
        <v>75.91</v>
      </c>
    </row>
    <row r="646" customFormat="false" ht="15" hidden="false" customHeight="false" outlineLevel="0" collapsed="false">
      <c r="A646" s="13" t="s">
        <v>242</v>
      </c>
      <c r="B646" s="13" t="n">
        <v>51</v>
      </c>
      <c r="C646" s="17" t="n">
        <f aca="false">B646/100*Notas!$B$3</f>
        <v>48.45</v>
      </c>
      <c r="D646" s="17" t="n">
        <f aca="false">20.29/95*Notas!$B$3</f>
        <v>20.29</v>
      </c>
      <c r="E646" s="17" t="n">
        <f aca="false">11.83/95*Notas!$B$3</f>
        <v>11.83</v>
      </c>
      <c r="F646" s="13" t="n">
        <v>1</v>
      </c>
      <c r="G646" s="17" t="n">
        <f aca="false">20.29/95*Notas!$B$3</f>
        <v>20.29</v>
      </c>
      <c r="H646" s="17" t="n">
        <f aca="false">11.83/95*Notas!$B$3</f>
        <v>11.83</v>
      </c>
      <c r="I646" s="17" t="n">
        <f aca="false">57.22/95*Notas!$B$3</f>
        <v>57.22</v>
      </c>
      <c r="J646" s="17" t="n">
        <f aca="false">57.22/95*Notas!$B$3</f>
        <v>57.22</v>
      </c>
    </row>
    <row r="647" customFormat="false" ht="15" hidden="false" customHeight="false" outlineLevel="0" collapsed="false">
      <c r="A647" s="13" t="s">
        <v>242</v>
      </c>
      <c r="B647" s="13" t="n">
        <v>52</v>
      </c>
      <c r="C647" s="17" t="n">
        <f aca="false">B647/100*Notas!$B$3</f>
        <v>49.4</v>
      </c>
      <c r="D647" s="17" t="n">
        <f aca="false">13.05/95*Notas!$B$3</f>
        <v>13.05</v>
      </c>
      <c r="E647" s="17" t="n">
        <f aca="false">13.86/95*Notas!$B$3</f>
        <v>13.86</v>
      </c>
      <c r="F647" s="13" t="n">
        <v>1</v>
      </c>
      <c r="G647" s="17" t="n">
        <f aca="false">13.05/95*Notas!$B$3</f>
        <v>13.05</v>
      </c>
      <c r="H647" s="17" t="n">
        <f aca="false">13.86/95*Notas!$B$3</f>
        <v>13.86</v>
      </c>
      <c r="I647" s="17" t="n">
        <f aca="false">44.34/95*Notas!$B$3</f>
        <v>44.34</v>
      </c>
      <c r="J647" s="17" t="n">
        <f aca="false">44.34/95*Notas!$B$3</f>
        <v>44.34</v>
      </c>
    </row>
    <row r="648" customFormat="false" ht="15" hidden="false" customHeight="false" outlineLevel="0" collapsed="false">
      <c r="A648" s="13" t="s">
        <v>242</v>
      </c>
      <c r="B648" s="13" t="n">
        <v>53</v>
      </c>
      <c r="C648" s="17" t="n">
        <f aca="false">B648/100*Notas!$B$3</f>
        <v>50.35</v>
      </c>
      <c r="D648" s="17" t="n">
        <f aca="false">24.32/95*Notas!$B$3</f>
        <v>24.32</v>
      </c>
      <c r="E648" s="17" t="n">
        <f aca="false">23.26/95*Notas!$B$3</f>
        <v>23.26</v>
      </c>
      <c r="F648" s="13" t="n">
        <v>5</v>
      </c>
      <c r="G648" s="17" t="n">
        <f aca="false">22.36/95*Notas!$B$3</f>
        <v>22.36</v>
      </c>
      <c r="H648" s="17" t="n">
        <f aca="false">14.9/95*Notas!$B$3</f>
        <v>14.9</v>
      </c>
      <c r="I648" s="17" t="n">
        <f aca="false">61.75/95*Notas!$B$3</f>
        <v>61.75</v>
      </c>
      <c r="J648" s="17" t="n">
        <f aca="false">91.38/95*Notas!$B$3</f>
        <v>91.38</v>
      </c>
    </row>
    <row r="649" customFormat="false" ht="15" hidden="false" customHeight="false" outlineLevel="0" collapsed="false">
      <c r="A649" s="13" t="s">
        <v>242</v>
      </c>
      <c r="B649" s="13" t="n">
        <v>54</v>
      </c>
      <c r="C649" s="17" t="n">
        <f aca="false">B649/100*Notas!$B$3</f>
        <v>51.3</v>
      </c>
      <c r="D649" s="17" t="n">
        <f aca="false">31.44/95*Notas!$B$3</f>
        <v>31.44</v>
      </c>
      <c r="E649" s="17" t="n">
        <f aca="false">24.71/95*Notas!$B$3</f>
        <v>24.71</v>
      </c>
      <c r="F649" s="13" t="n">
        <v>7</v>
      </c>
      <c r="G649" s="17" t="n">
        <f aca="false">25.59/95*Notas!$B$3</f>
        <v>25.59</v>
      </c>
      <c r="H649" s="17" t="n">
        <f aca="false">16.95/95*Notas!$B$3</f>
        <v>16.95</v>
      </c>
      <c r="I649" s="17" t="n">
        <f aca="false">72.71/95*Notas!$B$3</f>
        <v>72.71</v>
      </c>
      <c r="J649" s="17" t="n">
        <f aca="false">129.02/95*Notas!$B$3</f>
        <v>129.02</v>
      </c>
    </row>
    <row r="650" customFormat="false" ht="15" hidden="false" customHeight="false" outlineLevel="0" collapsed="false">
      <c r="A650" s="13" t="s">
        <v>242</v>
      </c>
      <c r="B650" s="13" t="n">
        <v>55</v>
      </c>
      <c r="C650" s="17" t="n">
        <f aca="false">B650/100*Notas!$B$3</f>
        <v>52.25</v>
      </c>
      <c r="D650" s="17" t="n">
        <f aca="false">32.95/95*Notas!$B$3</f>
        <v>32.95</v>
      </c>
      <c r="E650" s="17" t="n">
        <f aca="false">25.55/95*Notas!$B$3</f>
        <v>25.55</v>
      </c>
      <c r="F650" s="13" t="n">
        <v>5</v>
      </c>
      <c r="G650" s="17" t="n">
        <f aca="false">18.46/95*Notas!$B$3</f>
        <v>18.46</v>
      </c>
      <c r="H650" s="17" t="n">
        <f aca="false">7.02/95*Notas!$B$3</f>
        <v>7.02</v>
      </c>
      <c r="I650" s="17" t="n">
        <f aca="false">49.65/95*Notas!$B$3</f>
        <v>49.65</v>
      </c>
      <c r="J650" s="17" t="n">
        <f aca="false">157.38/95*Notas!$B$3</f>
        <v>157.38</v>
      </c>
    </row>
    <row r="651" customFormat="false" ht="15" hidden="false" customHeight="false" outlineLevel="0" collapsed="false">
      <c r="A651" s="13" t="s">
        <v>242</v>
      </c>
      <c r="B651" s="13" t="n">
        <v>56</v>
      </c>
      <c r="C651" s="17" t="n">
        <f aca="false">B651/100*Notas!$B$3</f>
        <v>53.2</v>
      </c>
      <c r="D651" s="17" t="n">
        <f aca="false">34.11/95*Notas!$B$3</f>
        <v>34.11</v>
      </c>
      <c r="E651" s="17" t="n">
        <f aca="false">28.25/95*Notas!$B$3</f>
        <v>28.25</v>
      </c>
      <c r="F651" s="13" t="n">
        <v>4</v>
      </c>
      <c r="G651" s="17" t="n">
        <f aca="false">30.8/95*Notas!$B$3</f>
        <v>30.8</v>
      </c>
      <c r="H651" s="17" t="n">
        <f aca="false">26.28/95*Notas!$B$3</f>
        <v>26.28</v>
      </c>
      <c r="I651" s="17" t="n">
        <f aca="false">108.07/95*Notas!$B$3</f>
        <v>108.07</v>
      </c>
      <c r="J651" s="17" t="n">
        <f aca="false">153.54/95*Notas!$B$3</f>
        <v>153.54</v>
      </c>
    </row>
    <row r="652" customFormat="false" ht="15" hidden="false" customHeight="false" outlineLevel="0" collapsed="false">
      <c r="A652" s="13" t="s">
        <v>242</v>
      </c>
      <c r="B652" s="13" t="n">
        <v>57</v>
      </c>
      <c r="C652" s="17" t="n">
        <f aca="false">B652/100*Notas!$B$3</f>
        <v>54.15</v>
      </c>
      <c r="D652" s="17" t="n">
        <f aca="false">35.36/95*Notas!$B$3</f>
        <v>35.36</v>
      </c>
      <c r="E652" s="17" t="n">
        <f aca="false">29.06/95*Notas!$B$3</f>
        <v>29.06</v>
      </c>
      <c r="F652" s="13" t="n">
        <v>5</v>
      </c>
      <c r="G652" s="17" t="n">
        <f aca="false">32.07/95*Notas!$B$3</f>
        <v>32.07</v>
      </c>
      <c r="H652" s="17" t="n">
        <f aca="false">26.84/95*Notas!$B$3</f>
        <v>26.84</v>
      </c>
      <c r="I652" s="17" t="n">
        <f aca="false">105.59/95*Notas!$B$3</f>
        <v>105.59</v>
      </c>
      <c r="J652" s="17" t="n">
        <f aca="false">137.71/95*Notas!$B$3</f>
        <v>137.71</v>
      </c>
    </row>
    <row r="653" customFormat="false" ht="15" hidden="false" customHeight="false" outlineLevel="0" collapsed="false">
      <c r="A653" s="13" t="s">
        <v>242</v>
      </c>
      <c r="B653" s="13" t="n">
        <v>58</v>
      </c>
      <c r="C653" s="17" t="n">
        <f aca="false">B653/100*Notas!$B$3</f>
        <v>55.1</v>
      </c>
      <c r="D653" s="17" t="n">
        <f aca="false">47.76/95*Notas!$B$3</f>
        <v>47.76</v>
      </c>
      <c r="E653" s="17" t="n">
        <f aca="false">29.85/95*Notas!$B$3</f>
        <v>29.85</v>
      </c>
      <c r="F653" s="13" t="n">
        <v>3</v>
      </c>
      <c r="G653" s="17" t="n">
        <f aca="false">47.76/95*Notas!$B$3</f>
        <v>47.76</v>
      </c>
      <c r="H653" s="17" t="n">
        <f aca="false">27.42/95*Notas!$B$3</f>
        <v>27.42</v>
      </c>
      <c r="I653" s="17" t="n">
        <f aca="false">135.19/95*Notas!$B$3</f>
        <v>135.19</v>
      </c>
      <c r="J653" s="17" t="n">
        <f aca="false">154.12/95*Notas!$B$3</f>
        <v>154.12</v>
      </c>
    </row>
    <row r="654" customFormat="false" ht="15" hidden="false" customHeight="false" outlineLevel="0" collapsed="false">
      <c r="A654" s="13" t="s">
        <v>242</v>
      </c>
      <c r="B654" s="13" t="n">
        <v>59</v>
      </c>
      <c r="C654" s="17" t="n">
        <f aca="false">B654/100*Notas!$B$3</f>
        <v>56.05</v>
      </c>
      <c r="D654" s="17" t="n">
        <f aca="false">50.21/95*Notas!$B$3</f>
        <v>50.21</v>
      </c>
      <c r="E654" s="17" t="n">
        <f aca="false">30.6/95*Notas!$B$3</f>
        <v>30.6</v>
      </c>
      <c r="F654" s="13" t="n">
        <v>3</v>
      </c>
      <c r="G654" s="17" t="n">
        <f aca="false">50.21/95*Notas!$B$3</f>
        <v>50.21</v>
      </c>
      <c r="H654" s="17" t="n">
        <f aca="false">27.97/95*Notas!$B$3</f>
        <v>27.97</v>
      </c>
      <c r="I654" s="17" t="n">
        <f aca="false">137.45/95*Notas!$B$3</f>
        <v>137.45</v>
      </c>
      <c r="J654" s="17" t="n">
        <f aca="false">159.96/95*Notas!$B$3</f>
        <v>159.96</v>
      </c>
    </row>
    <row r="655" customFormat="false" ht="15" hidden="false" customHeight="false" outlineLevel="0" collapsed="false">
      <c r="A655" s="13" t="s">
        <v>242</v>
      </c>
      <c r="B655" s="13" t="n">
        <v>60</v>
      </c>
      <c r="C655" s="17" t="n">
        <f aca="false">B655/100*Notas!$B$3</f>
        <v>57</v>
      </c>
      <c r="D655" s="17" t="n">
        <f aca="false">50.44/95*Notas!$B$3</f>
        <v>50.44</v>
      </c>
      <c r="E655" s="17" t="n">
        <f aca="false">31.34/95*Notas!$B$3</f>
        <v>31.34</v>
      </c>
      <c r="F655" s="13" t="n">
        <v>3</v>
      </c>
      <c r="G655" s="17" t="n">
        <f aca="false">50.44/95*Notas!$B$3</f>
        <v>50.44</v>
      </c>
      <c r="H655" s="17" t="n">
        <f aca="false">28.52/95*Notas!$B$3</f>
        <v>28.52</v>
      </c>
      <c r="I655" s="17" t="n">
        <f aca="false">138.44/95*Notas!$B$3</f>
        <v>138.44</v>
      </c>
      <c r="J655" s="17" t="n">
        <f aca="false">166.47/95*Notas!$B$3</f>
        <v>166.47</v>
      </c>
    </row>
    <row r="656" customFormat="false" ht="15" hidden="false" customHeight="false" outlineLevel="0" collapsed="false">
      <c r="A656" s="13" t="s">
        <v>242</v>
      </c>
      <c r="B656" s="13" t="n">
        <v>61</v>
      </c>
      <c r="C656" s="17" t="n">
        <f aca="false">B656/100*Notas!$B$3</f>
        <v>57.95</v>
      </c>
      <c r="D656" s="17" t="n">
        <f aca="false">50.47/95*Notas!$B$3</f>
        <v>50.47</v>
      </c>
      <c r="E656" s="17" t="n">
        <f aca="false">31.98/95*Notas!$B$3</f>
        <v>31.98</v>
      </c>
      <c r="F656" s="13" t="n">
        <v>3</v>
      </c>
      <c r="G656" s="17" t="n">
        <f aca="false">50.47/95*Notas!$B$3</f>
        <v>50.47</v>
      </c>
      <c r="H656" s="17" t="n">
        <f aca="false">29.01/95*Notas!$B$3</f>
        <v>29.01</v>
      </c>
      <c r="I656" s="17" t="n">
        <f aca="false">137.94/95*Notas!$B$3</f>
        <v>137.94</v>
      </c>
      <c r="J656" s="17" t="n">
        <f aca="false">171.88/95*Notas!$B$3</f>
        <v>171.88</v>
      </c>
    </row>
    <row r="657" customFormat="false" ht="15" hidden="false" customHeight="false" outlineLevel="0" collapsed="false">
      <c r="A657" s="13" t="s">
        <v>242</v>
      </c>
      <c r="B657" s="13" t="n">
        <v>62</v>
      </c>
      <c r="C657" s="17" t="n">
        <f aca="false">B657/100*Notas!$B$3</f>
        <v>58.9</v>
      </c>
      <c r="D657" s="17" t="n">
        <f aca="false">50.5/95*Notas!$B$3</f>
        <v>50.5</v>
      </c>
      <c r="E657" s="17" t="n">
        <f aca="false">34.25/95*Notas!$B$3</f>
        <v>34.25</v>
      </c>
      <c r="F657" s="13" t="n">
        <v>3</v>
      </c>
      <c r="G657" s="17" t="n">
        <f aca="false">50.5/95*Notas!$B$3</f>
        <v>50.5</v>
      </c>
      <c r="H657" s="17" t="n">
        <f aca="false">34.25/95*Notas!$B$3</f>
        <v>34.25</v>
      </c>
      <c r="I657" s="17" t="n">
        <f aca="false">153.28/95*Notas!$B$3</f>
        <v>153.28</v>
      </c>
      <c r="J657" s="17" t="n">
        <f aca="false">191.14/95*Notas!$B$3</f>
        <v>191.14</v>
      </c>
    </row>
    <row r="658" customFormat="false" ht="15" hidden="false" customHeight="false" outlineLevel="0" collapsed="false">
      <c r="A658" s="13" t="s">
        <v>242</v>
      </c>
      <c r="B658" s="13" t="n">
        <v>63</v>
      </c>
      <c r="C658" s="17" t="n">
        <f aca="false">B658/100*Notas!$B$3</f>
        <v>59.85</v>
      </c>
      <c r="D658" s="17" t="n">
        <f aca="false">50.53/95*Notas!$B$3</f>
        <v>50.53</v>
      </c>
      <c r="E658" s="17" t="n">
        <f aca="false">34.6/95*Notas!$B$3</f>
        <v>34.6</v>
      </c>
      <c r="F658" s="13" t="n">
        <v>3</v>
      </c>
      <c r="G658" s="17" t="n">
        <f aca="false">50.53/95*Notas!$B$3</f>
        <v>50.53</v>
      </c>
      <c r="H658" s="17" t="n">
        <f aca="false">34.6/95*Notas!$B$3</f>
        <v>34.6</v>
      </c>
      <c r="I658" s="17" t="n">
        <f aca="false">154.68/95*Notas!$B$3</f>
        <v>154.68</v>
      </c>
      <c r="J658" s="17" t="n">
        <f aca="false">196.53/95*Notas!$B$3</f>
        <v>196.53</v>
      </c>
    </row>
    <row r="659" customFormat="false" ht="15" hidden="false" customHeight="false" outlineLevel="0" collapsed="false">
      <c r="A659" s="13" t="s">
        <v>242</v>
      </c>
      <c r="B659" s="13" t="n">
        <v>64</v>
      </c>
      <c r="C659" s="17" t="n">
        <f aca="false">B659/100*Notas!$B$3</f>
        <v>60.8</v>
      </c>
      <c r="D659" s="17" t="n">
        <f aca="false">50.55/95*Notas!$B$3</f>
        <v>50.55</v>
      </c>
      <c r="E659" s="17" t="n">
        <f aca="false">34.8/95*Notas!$B$3</f>
        <v>34.8</v>
      </c>
      <c r="F659" s="13" t="n">
        <v>2</v>
      </c>
      <c r="G659" s="17" t="n">
        <f aca="false">50.55/95*Notas!$B$3</f>
        <v>50.55</v>
      </c>
      <c r="H659" s="17" t="n">
        <f aca="false">34.8/95*Notas!$B$3</f>
        <v>34.8</v>
      </c>
      <c r="I659" s="17" t="n">
        <f aca="false">184.49/95*Notas!$B$3</f>
        <v>184.49</v>
      </c>
      <c r="J659" s="17" t="n">
        <f aca="false">199.88/95*Notas!$B$3</f>
        <v>199.88</v>
      </c>
    </row>
    <row r="660" customFormat="false" ht="15" hidden="false" customHeight="false" outlineLevel="0" collapsed="false">
      <c r="A660" s="13" t="s">
        <v>242</v>
      </c>
      <c r="B660" s="13" t="n">
        <v>65</v>
      </c>
      <c r="C660" s="17" t="n">
        <f aca="false">B660/100*Notas!$B$3</f>
        <v>61.75</v>
      </c>
      <c r="D660" s="17" t="n">
        <f aca="false">50.54/95*Notas!$B$3</f>
        <v>50.54</v>
      </c>
      <c r="E660" s="17" t="n">
        <f aca="false">34.98/95*Notas!$B$3</f>
        <v>34.98</v>
      </c>
      <c r="F660" s="13" t="n">
        <v>3</v>
      </c>
      <c r="G660" s="17" t="n">
        <f aca="false">50.54/95*Notas!$B$3</f>
        <v>50.54</v>
      </c>
      <c r="H660" s="17" t="n">
        <f aca="false">34.98/95*Notas!$B$3</f>
        <v>34.98</v>
      </c>
      <c r="I660" s="17" t="n">
        <f aca="false">176.15/95*Notas!$B$3</f>
        <v>176.15</v>
      </c>
      <c r="J660" s="17" t="n">
        <f aca="false">203.96/95*Notas!$B$3</f>
        <v>203.96</v>
      </c>
    </row>
    <row r="661" customFormat="false" ht="15" hidden="false" customHeight="false" outlineLevel="0" collapsed="false">
      <c r="A661" s="13" t="s">
        <v>242</v>
      </c>
      <c r="B661" s="13" t="n">
        <v>66</v>
      </c>
      <c r="C661" s="17" t="n">
        <f aca="false">B661/100*Notas!$B$3</f>
        <v>62.7</v>
      </c>
      <c r="D661" s="17" t="n">
        <f aca="false">50.94/95*Notas!$B$3</f>
        <v>50.94</v>
      </c>
      <c r="E661" s="17" t="n">
        <f aca="false">35.17/95*Notas!$B$3</f>
        <v>35.17</v>
      </c>
      <c r="F661" s="13" t="n">
        <v>4</v>
      </c>
      <c r="G661" s="17" t="n">
        <f aca="false">50.47/95*Notas!$B$3</f>
        <v>50.47</v>
      </c>
      <c r="H661" s="17" t="n">
        <f aca="false">35.17/95*Notas!$B$3</f>
        <v>35.17</v>
      </c>
      <c r="I661" s="17" t="n">
        <f aca="false">177.92/95*Notas!$B$3</f>
        <v>177.92</v>
      </c>
      <c r="J661" s="17" t="n">
        <f aca="false">204/95*Notas!$B$3</f>
        <v>204</v>
      </c>
    </row>
    <row r="662" customFormat="false" ht="15" hidden="false" customHeight="false" outlineLevel="0" collapsed="false">
      <c r="A662" s="13" t="s">
        <v>242</v>
      </c>
      <c r="B662" s="13" t="n">
        <v>67</v>
      </c>
      <c r="C662" s="17" t="n">
        <f aca="false">B662/100*Notas!$B$3</f>
        <v>63.65</v>
      </c>
      <c r="D662" s="17" t="n">
        <f aca="false">51.23/95*Notas!$B$3</f>
        <v>51.23</v>
      </c>
      <c r="E662" s="17" t="n">
        <f aca="false">35.45/95*Notas!$B$3</f>
        <v>35.45</v>
      </c>
      <c r="F662" s="13" t="n">
        <v>2</v>
      </c>
      <c r="G662" s="17" t="n">
        <f aca="false">51.23/95*Notas!$B$3</f>
        <v>51.23</v>
      </c>
      <c r="H662" s="17" t="n">
        <f aca="false">33.4/95*Notas!$B$3</f>
        <v>33.4</v>
      </c>
      <c r="I662" s="17" t="n">
        <f aca="false">174.19/95*Notas!$B$3</f>
        <v>174.19</v>
      </c>
      <c r="J662" s="17" t="n">
        <f aca="false">193.44/95*Notas!$B$3</f>
        <v>193.44</v>
      </c>
    </row>
    <row r="663" customFormat="false" ht="15" hidden="false" customHeight="false" outlineLevel="0" collapsed="false">
      <c r="A663" s="13" t="s">
        <v>242</v>
      </c>
      <c r="B663" s="13" t="n">
        <v>68</v>
      </c>
      <c r="C663" s="17" t="n">
        <f aca="false">B663/100*Notas!$B$3</f>
        <v>64.6</v>
      </c>
      <c r="D663" s="17" t="n">
        <f aca="false">49.24/95*Notas!$B$3</f>
        <v>49.24</v>
      </c>
      <c r="E663" s="17" t="n">
        <f aca="false">36.04/95*Notas!$B$3</f>
        <v>36.04</v>
      </c>
      <c r="F663" s="13" t="n">
        <v>2</v>
      </c>
      <c r="G663" s="17" t="n">
        <f aca="false">49.24/95*Notas!$B$3</f>
        <v>49.24</v>
      </c>
      <c r="H663" s="17" t="n">
        <f aca="false">34.03/95*Notas!$B$3</f>
        <v>34.03</v>
      </c>
      <c r="I663" s="17" t="n">
        <f aca="false">163.06/95*Notas!$B$3</f>
        <v>163.06</v>
      </c>
      <c r="J663" s="17" t="n">
        <f aca="false">183.49/95*Notas!$B$3</f>
        <v>183.49</v>
      </c>
    </row>
    <row r="664" customFormat="false" ht="15" hidden="false" customHeight="false" outlineLevel="0" collapsed="false">
      <c r="A664" s="13" t="s">
        <v>242</v>
      </c>
      <c r="B664" s="13" t="n">
        <v>69</v>
      </c>
      <c r="C664" s="17" t="n">
        <f aca="false">B664/100*Notas!$B$3</f>
        <v>65.55</v>
      </c>
      <c r="D664" s="17" t="n">
        <f aca="false">47.46/95*Notas!$B$3</f>
        <v>47.46</v>
      </c>
      <c r="E664" s="17" t="n">
        <f aca="false">36.56/95*Notas!$B$3</f>
        <v>36.56</v>
      </c>
      <c r="F664" s="13" t="n">
        <v>2</v>
      </c>
      <c r="G664" s="17" t="n">
        <f aca="false">47.46/95*Notas!$B$3</f>
        <v>47.46</v>
      </c>
      <c r="H664" s="17" t="n">
        <f aca="false">34.64/95*Notas!$B$3</f>
        <v>34.64</v>
      </c>
      <c r="I664" s="17" t="n">
        <f aca="false">162.09/95*Notas!$B$3</f>
        <v>162.09</v>
      </c>
      <c r="J664" s="17" t="n">
        <f aca="false">183.59/95*Notas!$B$3</f>
        <v>183.59</v>
      </c>
    </row>
    <row r="665" customFormat="false" ht="15" hidden="false" customHeight="false" outlineLevel="0" collapsed="false">
      <c r="A665" s="13" t="s">
        <v>242</v>
      </c>
      <c r="B665" s="13" t="n">
        <v>70</v>
      </c>
      <c r="C665" s="17" t="n">
        <f aca="false">B665/100*Notas!$B$3</f>
        <v>66.5</v>
      </c>
      <c r="D665" s="17" t="n">
        <f aca="false">50.73/95*Notas!$B$3</f>
        <v>50.73</v>
      </c>
      <c r="E665" s="17" t="n">
        <f aca="false">37.07/95*Notas!$B$3</f>
        <v>37.07</v>
      </c>
      <c r="F665" s="13" t="n">
        <v>2</v>
      </c>
      <c r="G665" s="17" t="n">
        <f aca="false">50.73/95*Notas!$B$3</f>
        <v>50.73</v>
      </c>
      <c r="H665" s="17" t="n">
        <f aca="false">34.93/95*Notas!$B$3</f>
        <v>34.93</v>
      </c>
      <c r="I665" s="17" t="n">
        <f aca="false">166.02/95*Notas!$B$3</f>
        <v>166.02</v>
      </c>
      <c r="J665" s="17" t="n">
        <f aca="false">188.51/95*Notas!$B$3</f>
        <v>188.51</v>
      </c>
    </row>
    <row r="666" customFormat="false" ht="15" hidden="false" customHeight="false" outlineLevel="0" collapsed="false">
      <c r="A666" s="13" t="s">
        <v>242</v>
      </c>
      <c r="B666" s="13" t="n">
        <v>71</v>
      </c>
      <c r="C666" s="17" t="n">
        <f aca="false">B666/100*Notas!$B$3</f>
        <v>67.45</v>
      </c>
      <c r="D666" s="17" t="n">
        <f aca="false">51.31/95*Notas!$B$3</f>
        <v>51.31</v>
      </c>
      <c r="E666" s="17" t="n">
        <f aca="false">37.56/95*Notas!$B$3</f>
        <v>37.56</v>
      </c>
      <c r="F666" s="13" t="n">
        <v>1</v>
      </c>
      <c r="G666" s="17" t="n">
        <f aca="false">51.31/95*Notas!$B$3</f>
        <v>51.31</v>
      </c>
      <c r="H666" s="17" t="n">
        <f aca="false">37.56/95*Notas!$B$3</f>
        <v>37.56</v>
      </c>
      <c r="I666" s="17" t="n">
        <f aca="false">183.59/95*Notas!$B$3</f>
        <v>183.59</v>
      </c>
      <c r="J666" s="17" t="n">
        <f aca="false">183.59/95*Notas!$B$3</f>
        <v>183.59</v>
      </c>
    </row>
    <row r="667" customFormat="false" ht="15" hidden="false" customHeight="false" outlineLevel="0" collapsed="false">
      <c r="A667" s="13" t="s">
        <v>242</v>
      </c>
      <c r="B667" s="13" t="n">
        <v>72</v>
      </c>
      <c r="C667" s="17" t="n">
        <f aca="false">B667/100*Notas!$B$3</f>
        <v>68.4</v>
      </c>
      <c r="D667" s="17" t="n">
        <f aca="false">51.85/95*Notas!$B$3</f>
        <v>51.85</v>
      </c>
      <c r="E667" s="17" t="n">
        <f aca="false">38.02/95*Notas!$B$3</f>
        <v>38.02</v>
      </c>
      <c r="F667" s="13" t="n">
        <v>1</v>
      </c>
      <c r="G667" s="17" t="n">
        <f aca="false">51.85/95*Notas!$B$3</f>
        <v>51.85</v>
      </c>
      <c r="H667" s="17" t="n">
        <f aca="false">38.02/95*Notas!$B$3</f>
        <v>38.02</v>
      </c>
      <c r="I667" s="17" t="n">
        <f aca="false">184.27/95*Notas!$B$3</f>
        <v>184.27</v>
      </c>
      <c r="J667" s="17" t="n">
        <f aca="false">184.27/95*Notas!$B$3</f>
        <v>184.27</v>
      </c>
    </row>
    <row r="668" customFormat="false" ht="15" hidden="false" customHeight="false" outlineLevel="0" collapsed="false">
      <c r="A668" s="13" t="s">
        <v>242</v>
      </c>
      <c r="B668" s="13" t="n">
        <v>73</v>
      </c>
      <c r="C668" s="17" t="n">
        <f aca="false">B668/100*Notas!$B$3</f>
        <v>69.35</v>
      </c>
      <c r="D668" s="17" t="n">
        <f aca="false">52.45/95*Notas!$B$3</f>
        <v>52.45</v>
      </c>
      <c r="E668" s="17" t="n">
        <f aca="false">38.48/95*Notas!$B$3</f>
        <v>38.48</v>
      </c>
      <c r="F668" s="13" t="n">
        <v>1</v>
      </c>
      <c r="G668" s="17" t="n">
        <f aca="false">52.45/95*Notas!$B$3</f>
        <v>52.45</v>
      </c>
      <c r="H668" s="17" t="n">
        <f aca="false">38.48/95*Notas!$B$3</f>
        <v>38.48</v>
      </c>
      <c r="I668" s="17" t="n">
        <f aca="false">185.84/95*Notas!$B$3</f>
        <v>185.84</v>
      </c>
      <c r="J668" s="17" t="n">
        <f aca="false">185.84/95*Notas!$B$3</f>
        <v>185.84</v>
      </c>
    </row>
    <row r="669" customFormat="false" ht="15" hidden="false" customHeight="false" outlineLevel="0" collapsed="false">
      <c r="A669" s="13" t="s">
        <v>242</v>
      </c>
      <c r="B669" s="13" t="n">
        <v>74</v>
      </c>
      <c r="C669" s="17" t="n">
        <f aca="false">B669/100*Notas!$B$3</f>
        <v>70.3</v>
      </c>
      <c r="D669" s="17" t="n">
        <f aca="false">53.11/95*Notas!$B$3</f>
        <v>53.11</v>
      </c>
      <c r="E669" s="17" t="n">
        <f aca="false">38.95/95*Notas!$B$3</f>
        <v>38.95</v>
      </c>
      <c r="F669" s="13" t="n">
        <v>1</v>
      </c>
      <c r="G669" s="17" t="n">
        <f aca="false">53.11/95*Notas!$B$3</f>
        <v>53.11</v>
      </c>
      <c r="H669" s="17" t="n">
        <f aca="false">38.95/95*Notas!$B$3</f>
        <v>38.95</v>
      </c>
      <c r="I669" s="17" t="n">
        <f aca="false">179.38/95*Notas!$B$3</f>
        <v>179.38</v>
      </c>
      <c r="J669" s="17" t="n">
        <f aca="false">179.38/95*Notas!$B$3</f>
        <v>179.38</v>
      </c>
    </row>
    <row r="670" customFormat="false" ht="15" hidden="false" customHeight="false" outlineLevel="0" collapsed="false">
      <c r="A670" s="13" t="s">
        <v>242</v>
      </c>
      <c r="B670" s="13" t="n">
        <v>75</v>
      </c>
      <c r="C670" s="17" t="n">
        <f aca="false">B670/100*Notas!$B$3</f>
        <v>71.25</v>
      </c>
      <c r="D670" s="17" t="n">
        <f aca="false">53.75/95*Notas!$B$3</f>
        <v>53.75</v>
      </c>
      <c r="E670" s="17" t="n">
        <f aca="false">39.44/95*Notas!$B$3</f>
        <v>39.44</v>
      </c>
      <c r="F670" s="13" t="n">
        <v>1</v>
      </c>
      <c r="G670" s="17" t="n">
        <f aca="false">53.75/95*Notas!$B$3</f>
        <v>53.75</v>
      </c>
      <c r="H670" s="17" t="n">
        <f aca="false">39.44/95*Notas!$B$3</f>
        <v>39.44</v>
      </c>
      <c r="I670" s="17" t="n">
        <f aca="false">178.22/95*Notas!$B$3</f>
        <v>178.22</v>
      </c>
      <c r="J670" s="17" t="n">
        <f aca="false">178.22/95*Notas!$B$3</f>
        <v>178.22</v>
      </c>
    </row>
    <row r="671" customFormat="false" ht="15" hidden="false" customHeight="false" outlineLevel="0" collapsed="false">
      <c r="A671" s="13" t="s">
        <v>242</v>
      </c>
      <c r="B671" s="13" t="n">
        <v>76</v>
      </c>
      <c r="C671" s="17" t="n">
        <f aca="false">B671/100*Notas!$B$3</f>
        <v>72.2</v>
      </c>
      <c r="D671" s="17" t="n">
        <f aca="false">54.44/95*Notas!$B$3</f>
        <v>54.44</v>
      </c>
      <c r="E671" s="17" t="n">
        <f aca="false">39.94/95*Notas!$B$3</f>
        <v>39.94</v>
      </c>
      <c r="F671" s="13" t="n">
        <v>1</v>
      </c>
      <c r="G671" s="17" t="n">
        <f aca="false">54.44/95*Notas!$B$3</f>
        <v>54.44</v>
      </c>
      <c r="H671" s="17" t="n">
        <f aca="false">39.94/95*Notas!$B$3</f>
        <v>39.94</v>
      </c>
      <c r="I671" s="17" t="n">
        <f aca="false">180.57/95*Notas!$B$3</f>
        <v>180.57</v>
      </c>
      <c r="J671" s="17" t="n">
        <f aca="false">180.57/95*Notas!$B$3</f>
        <v>180.57</v>
      </c>
    </row>
    <row r="672" customFormat="false" ht="15" hidden="false" customHeight="false" outlineLevel="0" collapsed="false">
      <c r="A672" s="13" t="s">
        <v>242</v>
      </c>
      <c r="B672" s="13" t="n">
        <v>77</v>
      </c>
      <c r="C672" s="17" t="n">
        <f aca="false">B672/100*Notas!$B$3</f>
        <v>73.15</v>
      </c>
      <c r="D672" s="17" t="n">
        <f aca="false">55.17/95*Notas!$B$3</f>
        <v>55.17</v>
      </c>
      <c r="E672" s="17" t="n">
        <f aca="false">40.13/95*Notas!$B$3</f>
        <v>40.13</v>
      </c>
      <c r="F672" s="13" t="n">
        <v>1</v>
      </c>
      <c r="G672" s="17" t="n">
        <f aca="false">55.17/95*Notas!$B$3</f>
        <v>55.17</v>
      </c>
      <c r="H672" s="17" t="n">
        <f aca="false">40.13/95*Notas!$B$3</f>
        <v>40.13</v>
      </c>
      <c r="I672" s="17" t="n">
        <f aca="false">178.66/95*Notas!$B$3</f>
        <v>178.66</v>
      </c>
      <c r="J672" s="17" t="n">
        <f aca="false">178.66/95*Notas!$B$3</f>
        <v>178.66</v>
      </c>
    </row>
    <row r="673" customFormat="false" ht="15" hidden="false" customHeight="false" outlineLevel="0" collapsed="false">
      <c r="A673" s="13" t="s">
        <v>242</v>
      </c>
      <c r="B673" s="13" t="n">
        <v>78</v>
      </c>
      <c r="C673" s="17" t="n">
        <f aca="false">B673/100*Notas!$B$3</f>
        <v>74.1</v>
      </c>
      <c r="D673" s="17" t="n">
        <f aca="false">55.91/95*Notas!$B$3</f>
        <v>55.91</v>
      </c>
      <c r="E673" s="17" t="n">
        <f aca="false">39.84/95*Notas!$B$3</f>
        <v>39.84</v>
      </c>
      <c r="F673" s="13" t="n">
        <v>1</v>
      </c>
      <c r="G673" s="17" t="n">
        <f aca="false">55.91/95*Notas!$B$3</f>
        <v>55.91</v>
      </c>
      <c r="H673" s="17" t="n">
        <f aca="false">39.84/95*Notas!$B$3</f>
        <v>39.84</v>
      </c>
      <c r="I673" s="17" t="n">
        <f aca="false">179.48/95*Notas!$B$3</f>
        <v>179.48</v>
      </c>
      <c r="J673" s="17" t="n">
        <f aca="false">179.48/95*Notas!$B$3</f>
        <v>179.48</v>
      </c>
    </row>
    <row r="674" customFormat="false" ht="15" hidden="false" customHeight="false" outlineLevel="0" collapsed="false">
      <c r="A674" s="13" t="s">
        <v>242</v>
      </c>
      <c r="B674" s="13" t="n">
        <v>79</v>
      </c>
      <c r="C674" s="17" t="n">
        <f aca="false">B674/100*Notas!$B$3</f>
        <v>75.05</v>
      </c>
      <c r="D674" s="17" t="n">
        <f aca="false">56.63/95*Notas!$B$3</f>
        <v>56.63</v>
      </c>
      <c r="E674" s="17" t="n">
        <f aca="false">39.54/95*Notas!$B$3</f>
        <v>39.54</v>
      </c>
      <c r="F674" s="13" t="n">
        <v>1</v>
      </c>
      <c r="G674" s="17" t="n">
        <f aca="false">56.63/95*Notas!$B$3</f>
        <v>56.63</v>
      </c>
      <c r="H674" s="17" t="n">
        <f aca="false">39.54/95*Notas!$B$3</f>
        <v>39.54</v>
      </c>
      <c r="I674" s="17" t="n">
        <f aca="false">180.79/95*Notas!$B$3</f>
        <v>180.79</v>
      </c>
      <c r="J674" s="17" t="n">
        <f aca="false">180.79/95*Notas!$B$3</f>
        <v>180.79</v>
      </c>
    </row>
    <row r="675" customFormat="false" ht="15" hidden="false" customHeight="false" outlineLevel="0" collapsed="false">
      <c r="A675" s="13" t="s">
        <v>242</v>
      </c>
      <c r="B675" s="13" t="n">
        <v>80</v>
      </c>
      <c r="C675" s="17" t="n">
        <f aca="false">B675/100*Notas!$B$3</f>
        <v>76</v>
      </c>
      <c r="D675" s="17" t="n">
        <f aca="false">56.68/95*Notas!$B$3</f>
        <v>56.68</v>
      </c>
      <c r="E675" s="17" t="n">
        <f aca="false">39.13/95*Notas!$B$3</f>
        <v>39.13</v>
      </c>
      <c r="F675" s="13" t="n">
        <v>1</v>
      </c>
      <c r="G675" s="17" t="n">
        <f aca="false">56.68/95*Notas!$B$3</f>
        <v>56.68</v>
      </c>
      <c r="H675" s="17" t="n">
        <f aca="false">39.13/95*Notas!$B$3</f>
        <v>39.13</v>
      </c>
      <c r="I675" s="17" t="n">
        <f aca="false">181.65/95*Notas!$B$3</f>
        <v>181.65</v>
      </c>
      <c r="J675" s="17" t="n">
        <f aca="false">181.65/95*Notas!$B$3</f>
        <v>181.65</v>
      </c>
    </row>
    <row r="676" customFormat="false" ht="15" hidden="false" customHeight="false" outlineLevel="0" collapsed="false">
      <c r="A676" s="13" t="s">
        <v>242</v>
      </c>
      <c r="B676" s="13" t="n">
        <v>81</v>
      </c>
      <c r="C676" s="17" t="n">
        <f aca="false">B676/100*Notas!$B$3</f>
        <v>76.95</v>
      </c>
      <c r="D676" s="17" t="n">
        <f aca="false">56.22/95*Notas!$B$3</f>
        <v>56.22</v>
      </c>
      <c r="E676" s="17" t="n">
        <f aca="false">38.67/95*Notas!$B$3</f>
        <v>38.67</v>
      </c>
      <c r="F676" s="13" t="n">
        <v>1</v>
      </c>
      <c r="G676" s="17" t="n">
        <f aca="false">56.22/95*Notas!$B$3</f>
        <v>56.22</v>
      </c>
      <c r="H676" s="17" t="n">
        <f aca="false">38.67/95*Notas!$B$3</f>
        <v>38.67</v>
      </c>
      <c r="I676" s="17" t="n">
        <f aca="false">181.78/95*Notas!$B$3</f>
        <v>181.78</v>
      </c>
      <c r="J676" s="17" t="n">
        <f aca="false">181.78/95*Notas!$B$3</f>
        <v>181.78</v>
      </c>
    </row>
    <row r="677" customFormat="false" ht="15" hidden="false" customHeight="false" outlineLevel="0" collapsed="false">
      <c r="A677" s="13" t="s">
        <v>242</v>
      </c>
      <c r="B677" s="13" t="n">
        <v>82</v>
      </c>
      <c r="C677" s="17" t="n">
        <f aca="false">B677/100*Notas!$B$3</f>
        <v>77.9</v>
      </c>
      <c r="D677" s="17" t="n">
        <f aca="false">55.81/95*Notas!$B$3</f>
        <v>55.81</v>
      </c>
      <c r="E677" s="17" t="n">
        <f aca="false">38.18/95*Notas!$B$3</f>
        <v>38.18</v>
      </c>
      <c r="F677" s="13" t="n">
        <v>1</v>
      </c>
      <c r="G677" s="17" t="n">
        <f aca="false">55.81/95*Notas!$B$3</f>
        <v>55.81</v>
      </c>
      <c r="H677" s="17" t="n">
        <f aca="false">38.18/95*Notas!$B$3</f>
        <v>38.18</v>
      </c>
      <c r="I677" s="17" t="n">
        <f aca="false">182.46/95*Notas!$B$3</f>
        <v>182.46</v>
      </c>
      <c r="J677" s="17" t="n">
        <f aca="false">182.46/95*Notas!$B$3</f>
        <v>182.46</v>
      </c>
    </row>
    <row r="678" customFormat="false" ht="15" hidden="false" customHeight="false" outlineLevel="0" collapsed="false">
      <c r="A678" s="13" t="s">
        <v>242</v>
      </c>
      <c r="B678" s="13" t="n">
        <v>83</v>
      </c>
      <c r="C678" s="17" t="n">
        <f aca="false">B678/100*Notas!$B$3</f>
        <v>78.85</v>
      </c>
      <c r="D678" s="17" t="n">
        <f aca="false">55.84/95*Notas!$B$3</f>
        <v>55.84</v>
      </c>
      <c r="E678" s="17" t="n">
        <f aca="false">37.65/95*Notas!$B$3</f>
        <v>37.65</v>
      </c>
      <c r="F678" s="13" t="n">
        <v>1</v>
      </c>
      <c r="G678" s="17" t="n">
        <f aca="false">55.84/95*Notas!$B$3</f>
        <v>55.84</v>
      </c>
      <c r="H678" s="17" t="n">
        <f aca="false">37.65/95*Notas!$B$3</f>
        <v>37.65</v>
      </c>
      <c r="I678" s="17" t="n">
        <f aca="false">183.11/95*Notas!$B$3</f>
        <v>183.11</v>
      </c>
      <c r="J678" s="17" t="n">
        <f aca="false">183.11/95*Notas!$B$3</f>
        <v>183.11</v>
      </c>
    </row>
    <row r="679" customFormat="false" ht="15" hidden="false" customHeight="false" outlineLevel="0" collapsed="false">
      <c r="A679" s="13" t="s">
        <v>242</v>
      </c>
      <c r="B679" s="13" t="n">
        <v>84</v>
      </c>
      <c r="C679" s="17" t="n">
        <f aca="false">B679/100*Notas!$B$3</f>
        <v>79.8</v>
      </c>
      <c r="D679" s="17" t="n">
        <f aca="false">54.42/95*Notas!$B$3</f>
        <v>54.42</v>
      </c>
      <c r="E679" s="17" t="n">
        <f aca="false">37.11/95*Notas!$B$3</f>
        <v>37.11</v>
      </c>
      <c r="F679" s="13" t="n">
        <v>1</v>
      </c>
      <c r="G679" s="17" t="n">
        <f aca="false">54.42/95*Notas!$B$3</f>
        <v>54.42</v>
      </c>
      <c r="H679" s="17" t="n">
        <f aca="false">37.11/95*Notas!$B$3</f>
        <v>37.11</v>
      </c>
      <c r="I679" s="17" t="n">
        <f aca="false">180.72/95*Notas!$B$3</f>
        <v>180.72</v>
      </c>
      <c r="J679" s="17" t="n">
        <f aca="false">180.72/95*Notas!$B$3</f>
        <v>180.72</v>
      </c>
    </row>
    <row r="680" customFormat="false" ht="15" hidden="false" customHeight="false" outlineLevel="0" collapsed="false">
      <c r="A680" s="13" t="s">
        <v>242</v>
      </c>
      <c r="B680" s="13" t="n">
        <v>85</v>
      </c>
      <c r="C680" s="17" t="n">
        <f aca="false">B680/100*Notas!$B$3</f>
        <v>80.75</v>
      </c>
      <c r="D680" s="17" t="n">
        <f aca="false">52.77/95*Notas!$B$3</f>
        <v>52.77</v>
      </c>
      <c r="E680" s="17" t="n">
        <f aca="false">36.56/95*Notas!$B$3</f>
        <v>36.56</v>
      </c>
      <c r="F680" s="13" t="n">
        <v>1</v>
      </c>
      <c r="G680" s="17" t="n">
        <f aca="false">52.77/95*Notas!$B$3</f>
        <v>52.77</v>
      </c>
      <c r="H680" s="17" t="n">
        <f aca="false">36.56/95*Notas!$B$3</f>
        <v>36.56</v>
      </c>
      <c r="I680" s="17" t="n">
        <f aca="false">178.56/95*Notas!$B$3</f>
        <v>178.56</v>
      </c>
      <c r="J680" s="17" t="n">
        <f aca="false">178.56/95*Notas!$B$3</f>
        <v>178.56</v>
      </c>
    </row>
    <row r="681" customFormat="false" ht="15" hidden="false" customHeight="false" outlineLevel="0" collapsed="false">
      <c r="A681" s="13" t="s">
        <v>242</v>
      </c>
      <c r="B681" s="13" t="n">
        <v>86</v>
      </c>
      <c r="C681" s="17" t="n">
        <f aca="false">B681/100*Notas!$B$3</f>
        <v>81.7</v>
      </c>
      <c r="D681" s="17" t="n">
        <f aca="false">50.95/95*Notas!$B$3</f>
        <v>50.95</v>
      </c>
      <c r="E681" s="17" t="n">
        <f aca="false">35.57/95*Notas!$B$3</f>
        <v>35.57</v>
      </c>
      <c r="F681" s="13" t="n">
        <v>1</v>
      </c>
      <c r="G681" s="17" t="n">
        <f aca="false">50.95/95*Notas!$B$3</f>
        <v>50.95</v>
      </c>
      <c r="H681" s="17" t="n">
        <f aca="false">35.57/95*Notas!$B$3</f>
        <v>35.57</v>
      </c>
      <c r="I681" s="17" t="n">
        <f aca="false">175.09/95*Notas!$B$3</f>
        <v>175.09</v>
      </c>
      <c r="J681" s="17" t="n">
        <f aca="false">175.09/95*Notas!$B$3</f>
        <v>175.09</v>
      </c>
    </row>
    <row r="682" customFormat="false" ht="15" hidden="false" customHeight="false" outlineLevel="0" collapsed="false">
      <c r="A682" s="13" t="s">
        <v>242</v>
      </c>
      <c r="B682" s="13" t="n">
        <v>87</v>
      </c>
      <c r="C682" s="17" t="n">
        <f aca="false">B682/100*Notas!$B$3</f>
        <v>82.65</v>
      </c>
      <c r="D682" s="17" t="n">
        <f aca="false">49.06/95*Notas!$B$3</f>
        <v>49.06</v>
      </c>
      <c r="E682" s="17" t="n">
        <f aca="false">34.49/95*Notas!$B$3</f>
        <v>34.49</v>
      </c>
      <c r="F682" s="13" t="n">
        <v>2</v>
      </c>
      <c r="G682" s="17" t="n">
        <f aca="false">49.06/95*Notas!$B$3</f>
        <v>49.06</v>
      </c>
      <c r="H682" s="17" t="n">
        <f aca="false">34.49/95*Notas!$B$3</f>
        <v>34.49</v>
      </c>
      <c r="I682" s="17" t="n">
        <f aca="false">171.55/95*Notas!$B$3</f>
        <v>171.55</v>
      </c>
      <c r="J682" s="17" t="n">
        <f aca="false">175.19/95*Notas!$B$3</f>
        <v>175.19</v>
      </c>
    </row>
    <row r="683" customFormat="false" ht="15" hidden="false" customHeight="false" outlineLevel="0" collapsed="false">
      <c r="A683" s="13" t="s">
        <v>242</v>
      </c>
      <c r="B683" s="13" t="n">
        <v>88</v>
      </c>
      <c r="C683" s="17" t="n">
        <f aca="false">B683/100*Notas!$B$3</f>
        <v>83.6</v>
      </c>
      <c r="D683" s="17" t="n">
        <f aca="false">48.04/95*Notas!$B$3</f>
        <v>48.04</v>
      </c>
      <c r="E683" s="17" t="n">
        <f aca="false">33.4/95*Notas!$B$3</f>
        <v>33.4</v>
      </c>
      <c r="F683" s="13" t="n">
        <v>2</v>
      </c>
      <c r="G683" s="17" t="n">
        <f aca="false">47.1/95*Notas!$B$3</f>
        <v>47.1</v>
      </c>
      <c r="H683" s="17" t="n">
        <f aca="false">33.4/95*Notas!$B$3</f>
        <v>33.4</v>
      </c>
      <c r="I683" s="17" t="n">
        <f aca="false">170.88/95*Notas!$B$3</f>
        <v>170.88</v>
      </c>
      <c r="J683" s="17" t="n">
        <f aca="false">180.78/95*Notas!$B$3</f>
        <v>180.78</v>
      </c>
    </row>
    <row r="684" customFormat="false" ht="15" hidden="false" customHeight="false" outlineLevel="0" collapsed="false">
      <c r="A684" s="13" t="s">
        <v>242</v>
      </c>
      <c r="B684" s="13" t="n">
        <v>89</v>
      </c>
      <c r="C684" s="17" t="n">
        <f aca="false">B684/100*Notas!$B$3</f>
        <v>84.55</v>
      </c>
      <c r="D684" s="17" t="n">
        <f aca="false">46.28/95*Notas!$B$3</f>
        <v>46.28</v>
      </c>
      <c r="E684" s="17" t="n">
        <f aca="false">31.61/95*Notas!$B$3</f>
        <v>31.61</v>
      </c>
      <c r="F684" s="13" t="n">
        <v>1</v>
      </c>
      <c r="G684" s="17" t="n">
        <f aca="false">46.28/95*Notas!$B$3</f>
        <v>46.28</v>
      </c>
      <c r="H684" s="17" t="n">
        <f aca="false">31.61/95*Notas!$B$3</f>
        <v>31.61</v>
      </c>
      <c r="I684" s="17" t="n">
        <f aca="false">183.25/95*Notas!$B$3</f>
        <v>183.25</v>
      </c>
      <c r="J684" s="17" t="n">
        <f aca="false">183.25/95*Notas!$B$3</f>
        <v>183.25</v>
      </c>
    </row>
    <row r="685" customFormat="false" ht="15" hidden="false" customHeight="false" outlineLevel="0" collapsed="false">
      <c r="A685" s="13" t="s">
        <v>242</v>
      </c>
      <c r="B685" s="13" t="n">
        <v>90</v>
      </c>
      <c r="C685" s="17" t="n">
        <f aca="false">B685/100*Notas!$B$3</f>
        <v>85.5</v>
      </c>
      <c r="D685" s="17" t="n">
        <f aca="false">44.22/95*Notas!$B$3</f>
        <v>44.22</v>
      </c>
      <c r="E685" s="17" t="n">
        <f aca="false">30.78/95*Notas!$B$3</f>
        <v>30.78</v>
      </c>
      <c r="F685" s="13" t="n">
        <v>2</v>
      </c>
      <c r="G685" s="17" t="n">
        <f aca="false">44.22/95*Notas!$B$3</f>
        <v>44.22</v>
      </c>
      <c r="H685" s="17" t="n">
        <f aca="false">29.69/95*Notas!$B$3</f>
        <v>29.69</v>
      </c>
      <c r="I685" s="17" t="n">
        <f aca="false">158.84/95*Notas!$B$3</f>
        <v>158.84</v>
      </c>
      <c r="J685" s="17" t="n">
        <f aca="false">178.94/95*Notas!$B$3</f>
        <v>178.94</v>
      </c>
    </row>
    <row r="686" customFormat="false" ht="15" hidden="false" customHeight="false" outlineLevel="0" collapsed="false">
      <c r="A686" s="13" t="s">
        <v>242</v>
      </c>
      <c r="B686" s="13" t="n">
        <v>91</v>
      </c>
      <c r="C686" s="17" t="n">
        <f aca="false">B686/100*Notas!$B$3</f>
        <v>86.45</v>
      </c>
      <c r="D686" s="17" t="n">
        <f aca="false">42.06/95*Notas!$B$3</f>
        <v>42.06</v>
      </c>
      <c r="E686" s="17" t="n">
        <f aca="false">29.51/95*Notas!$B$3</f>
        <v>29.51</v>
      </c>
      <c r="F686" s="13" t="n">
        <v>3</v>
      </c>
      <c r="G686" s="17" t="n">
        <f aca="false">42.06/95*Notas!$B$3</f>
        <v>42.06</v>
      </c>
      <c r="H686" s="17" t="n">
        <f aca="false">29.07/95*Notas!$B$3</f>
        <v>29.07</v>
      </c>
      <c r="I686" s="17" t="n">
        <f aca="false">165.02/95*Notas!$B$3</f>
        <v>165.02</v>
      </c>
      <c r="J686" s="17" t="n">
        <f aca="false">193.86/95*Notas!$B$3</f>
        <v>193.86</v>
      </c>
    </row>
    <row r="687" customFormat="false" ht="15" hidden="false" customHeight="false" outlineLevel="0" collapsed="false">
      <c r="A687" s="13" t="s">
        <v>242</v>
      </c>
      <c r="B687" s="13" t="n">
        <v>92</v>
      </c>
      <c r="C687" s="17" t="n">
        <f aca="false">B687/100*Notas!$B$3</f>
        <v>87.4</v>
      </c>
      <c r="D687" s="17" t="n">
        <f aca="false">39.55/95*Notas!$B$3</f>
        <v>39.55</v>
      </c>
      <c r="E687" s="17" t="n">
        <f aca="false">28.59/95*Notas!$B$3</f>
        <v>28.59</v>
      </c>
      <c r="F687" s="13" t="n">
        <v>3</v>
      </c>
      <c r="G687" s="17" t="n">
        <f aca="false">35.29/95*Notas!$B$3</f>
        <v>35.29</v>
      </c>
      <c r="H687" s="17" t="n">
        <f aca="false">28.59/95*Notas!$B$3</f>
        <v>28.59</v>
      </c>
      <c r="I687" s="17" t="n">
        <f aca="false">133.11/95*Notas!$B$3</f>
        <v>133.11</v>
      </c>
      <c r="J687" s="17" t="n">
        <f aca="false">168.75/95*Notas!$B$3</f>
        <v>168.75</v>
      </c>
    </row>
    <row r="688" customFormat="false" ht="15" hidden="false" customHeight="false" outlineLevel="0" collapsed="false">
      <c r="A688" s="13" t="s">
        <v>242</v>
      </c>
      <c r="B688" s="13" t="n">
        <v>93</v>
      </c>
      <c r="C688" s="17" t="n">
        <f aca="false">B688/100*Notas!$B$3</f>
        <v>88.35</v>
      </c>
      <c r="D688" s="17" t="n">
        <f aca="false">33.23/95*Notas!$B$3</f>
        <v>33.23</v>
      </c>
      <c r="E688" s="17" t="n">
        <f aca="false">28.5/95*Notas!$B$3</f>
        <v>28.5</v>
      </c>
      <c r="F688" s="13" t="n">
        <v>3</v>
      </c>
      <c r="G688" s="17" t="n">
        <f aca="false">26.26/95*Notas!$B$3</f>
        <v>26.26</v>
      </c>
      <c r="H688" s="17" t="n">
        <f aca="false">28.5/95*Notas!$B$3</f>
        <v>28.5</v>
      </c>
      <c r="I688" s="17" t="n">
        <f aca="false">109.26/95*Notas!$B$3</f>
        <v>109.26</v>
      </c>
      <c r="J688" s="17" t="n">
        <f aca="false">130.54/95*Notas!$B$3</f>
        <v>130.54</v>
      </c>
    </row>
    <row r="689" customFormat="false" ht="15" hidden="false" customHeight="false" outlineLevel="0" collapsed="false">
      <c r="A689" s="13" t="s">
        <v>242</v>
      </c>
      <c r="B689" s="13" t="n">
        <v>94</v>
      </c>
      <c r="C689" s="17" t="n">
        <f aca="false">B689/100*Notas!$B$3</f>
        <v>89.3</v>
      </c>
      <c r="D689" s="17" t="n">
        <f aca="false">31.06/95*Notas!$B$3</f>
        <v>31.06</v>
      </c>
      <c r="E689" s="17" t="n">
        <f aca="false">28.28/95*Notas!$B$3</f>
        <v>28.28</v>
      </c>
      <c r="F689" s="13" t="n">
        <v>3</v>
      </c>
      <c r="G689" s="17" t="n">
        <f aca="false">6.29/95*Notas!$B$3</f>
        <v>6.29</v>
      </c>
      <c r="H689" s="17" t="n">
        <f aca="false">9.21/95*Notas!$B$3</f>
        <v>9.21</v>
      </c>
      <c r="I689" s="17" t="n">
        <f aca="false">23.48/95*Notas!$B$3</f>
        <v>23.48</v>
      </c>
      <c r="J689" s="17" t="n">
        <f aca="false">119.64/95*Notas!$B$3</f>
        <v>119.64</v>
      </c>
    </row>
    <row r="690" customFormat="false" ht="15" hidden="false" customHeight="false" outlineLevel="0" collapsed="false">
      <c r="A690" s="13" t="s">
        <v>242</v>
      </c>
      <c r="B690" s="13" t="n">
        <v>95</v>
      </c>
      <c r="C690" s="17" t="n">
        <f aca="false">B690/100*Notas!$B$3</f>
        <v>90.25</v>
      </c>
      <c r="D690" s="17" t="n">
        <f aca="false">23.25/95*Notas!$B$3</f>
        <v>23.25</v>
      </c>
      <c r="E690" s="17" t="n">
        <f aca="false">27.92/95*Notas!$B$3</f>
        <v>27.92</v>
      </c>
      <c r="F690" s="13" t="n">
        <v>2</v>
      </c>
      <c r="G690" s="17" t="n">
        <f aca="false">4.96/95*Notas!$B$3</f>
        <v>4.96</v>
      </c>
      <c r="H690" s="17" t="n">
        <f aca="false">7.63/95*Notas!$B$3</f>
        <v>7.63</v>
      </c>
      <c r="I690" s="17" t="n">
        <f aca="false">19.2/95*Notas!$B$3</f>
        <v>19.2</v>
      </c>
      <c r="J690" s="17" t="n">
        <f aca="false">98.34/95*Notas!$B$3</f>
        <v>98.34</v>
      </c>
    </row>
    <row r="691" customFormat="false" ht="15" hidden="false" customHeight="false" outlineLevel="0" collapsed="false">
      <c r="A691" s="13" t="s">
        <v>242</v>
      </c>
      <c r="B691" s="13" t="n">
        <v>96</v>
      </c>
      <c r="C691" s="17" t="n">
        <f aca="false">B691/100*Notas!$B$3</f>
        <v>91.2</v>
      </c>
      <c r="D691" s="17" t="n">
        <f aca="false">21.32/95*Notas!$B$3</f>
        <v>21.32</v>
      </c>
      <c r="E691" s="17" t="n">
        <f aca="false">27.21/95*Notas!$B$3</f>
        <v>27.21</v>
      </c>
      <c r="F691" s="13" t="n">
        <v>3</v>
      </c>
      <c r="G691" s="17" t="n">
        <f aca="false">3.54/95*Notas!$B$3</f>
        <v>3.54</v>
      </c>
      <c r="H691" s="17" t="n">
        <f aca="false">6.24/95*Notas!$B$3</f>
        <v>6.24</v>
      </c>
      <c r="I691" s="17" t="n">
        <f aca="false">15.1/95*Notas!$B$3</f>
        <v>15.1</v>
      </c>
      <c r="J691" s="17" t="n">
        <f aca="false">83.82/95*Notas!$B$3</f>
        <v>83.82</v>
      </c>
    </row>
    <row r="692" customFormat="false" ht="15" hidden="false" customHeight="false" outlineLevel="0" collapsed="false">
      <c r="A692" s="13" t="s">
        <v>242</v>
      </c>
      <c r="B692" s="13" t="n">
        <v>97</v>
      </c>
      <c r="C692" s="17" t="n">
        <f aca="false">B692/100*Notas!$B$3</f>
        <v>92.15</v>
      </c>
      <c r="D692" s="17" t="n">
        <f aca="false">19.56/95*Notas!$B$3</f>
        <v>19.56</v>
      </c>
      <c r="E692" s="17" t="n">
        <f aca="false">26.31/95*Notas!$B$3</f>
        <v>26.31</v>
      </c>
      <c r="F692" s="13" t="n">
        <v>2</v>
      </c>
      <c r="G692" s="17" t="n">
        <f aca="false">2.1/95*Notas!$B$3</f>
        <v>2.1</v>
      </c>
      <c r="H692" s="17" t="n">
        <f aca="false">4.16/95*Notas!$B$3</f>
        <v>4.16</v>
      </c>
      <c r="I692" s="17" t="n">
        <f aca="false">9.77/95*Notas!$B$3</f>
        <v>9.77</v>
      </c>
      <c r="J692" s="17" t="n">
        <f aca="false">65.19/95*Notas!$B$3</f>
        <v>65.19</v>
      </c>
    </row>
    <row r="693" customFormat="false" ht="15" hidden="false" customHeight="false" outlineLevel="0" collapsed="false">
      <c r="A693" s="13" t="s">
        <v>242</v>
      </c>
      <c r="B693" s="13" t="n">
        <v>98</v>
      </c>
      <c r="C693" s="17" t="n">
        <f aca="false">B693/100*Notas!$B$3</f>
        <v>93.1</v>
      </c>
      <c r="D693" s="17" t="n">
        <f aca="false">16.97/95*Notas!$B$3</f>
        <v>16.97</v>
      </c>
      <c r="E693" s="17" t="n">
        <f aca="false">24.39/95*Notas!$B$3</f>
        <v>24.39</v>
      </c>
      <c r="F693" s="13" t="n">
        <v>2</v>
      </c>
      <c r="G693" s="17" t="n">
        <f aca="false">0.16/95*Notas!$B$3</f>
        <v>0.16</v>
      </c>
      <c r="H693" s="17" t="n">
        <f aca="false">0.27/95*Notas!$B$3</f>
        <v>0.27</v>
      </c>
      <c r="I693" s="17" t="n">
        <f aca="false">0.63/95*Notas!$B$3</f>
        <v>0.63</v>
      </c>
      <c r="J693" s="17" t="n">
        <f aca="false">49.94/95*Notas!$B$3</f>
        <v>49.94</v>
      </c>
    </row>
    <row r="694" customFormat="false" ht="15" hidden="false" customHeight="false" outlineLevel="0" collapsed="false">
      <c r="A694" s="13" t="s">
        <v>242</v>
      </c>
      <c r="B694" s="13" t="n">
        <v>99</v>
      </c>
      <c r="C694" s="17" t="n">
        <f aca="false">B694/100*Notas!$B$3</f>
        <v>94.05</v>
      </c>
      <c r="D694" s="17" t="n">
        <f aca="false">12.82/95*Notas!$B$3</f>
        <v>12.82</v>
      </c>
      <c r="E694" s="17" t="n">
        <f aca="false">11.36/95*Notas!$B$3</f>
        <v>11.36</v>
      </c>
      <c r="F694" s="13" t="n">
        <v>1</v>
      </c>
      <c r="G694" s="17" t="n">
        <f aca="false">12.82/95*Notas!$B$3</f>
        <v>12.82</v>
      </c>
      <c r="H694" s="17" t="n">
        <f aca="false">11.36/95*Notas!$B$3</f>
        <v>11.36</v>
      </c>
      <c r="I694" s="17" t="n">
        <f aca="false">43.89/95*Notas!$B$3</f>
        <v>43.89</v>
      </c>
      <c r="J694" s="17" t="n">
        <f aca="false">43.89/95*Notas!$B$3</f>
        <v>43.89</v>
      </c>
    </row>
    <row r="695" customFormat="false" ht="15" hidden="false" customHeight="false" outlineLevel="0" collapsed="false">
      <c r="A695" s="13" t="s">
        <v>244</v>
      </c>
      <c r="B695" s="13" t="n">
        <v>1</v>
      </c>
      <c r="C695" s="17" t="n">
        <f aca="false">B695/100*Notas!$B$3</f>
        <v>0.95</v>
      </c>
      <c r="D695" s="17" t="n">
        <f aca="false">43.01/95*Notas!$B$3</f>
        <v>43.01</v>
      </c>
      <c r="E695" s="17" t="n">
        <f aca="false">27.25/95*Notas!$B$3</f>
        <v>27.25</v>
      </c>
      <c r="F695" s="13" t="n">
        <v>4</v>
      </c>
      <c r="G695" s="17" t="n">
        <f aca="false">20.57/95*Notas!$B$3</f>
        <v>20.57</v>
      </c>
      <c r="H695" s="17" t="n">
        <f aca="false">22.91/95*Notas!$B$3</f>
        <v>22.91</v>
      </c>
      <c r="I695" s="17" t="n">
        <f aca="false">68.67/95*Notas!$B$3</f>
        <v>68.67</v>
      </c>
      <c r="J695" s="17" t="n">
        <f aca="false">238.08/95*Notas!$B$3</f>
        <v>238.08</v>
      </c>
    </row>
    <row r="696" customFormat="false" ht="15" hidden="false" customHeight="false" outlineLevel="0" collapsed="false">
      <c r="A696" s="13" t="s">
        <v>244</v>
      </c>
      <c r="B696" s="13" t="n">
        <v>2</v>
      </c>
      <c r="C696" s="17" t="n">
        <f aca="false">B696/100*Notas!$B$3</f>
        <v>1.9</v>
      </c>
      <c r="D696" s="17" t="n">
        <f aca="false">43.02/95*Notas!$B$3</f>
        <v>43.02</v>
      </c>
      <c r="E696" s="17" t="n">
        <f aca="false">27.27/95*Notas!$B$3</f>
        <v>27.27</v>
      </c>
      <c r="F696" s="13" t="n">
        <v>4</v>
      </c>
      <c r="G696" s="17" t="n">
        <f aca="false">14.75/95*Notas!$B$3</f>
        <v>14.75</v>
      </c>
      <c r="H696" s="17" t="n">
        <f aca="false">17.02/95*Notas!$B$3</f>
        <v>17.02</v>
      </c>
      <c r="I696" s="17" t="n">
        <f aca="false">47.85/95*Notas!$B$3</f>
        <v>47.85</v>
      </c>
      <c r="J696" s="17" t="n">
        <f aca="false">229.77/95*Notas!$B$3</f>
        <v>229.77</v>
      </c>
    </row>
    <row r="697" customFormat="false" ht="15" hidden="false" customHeight="false" outlineLevel="0" collapsed="false">
      <c r="A697" s="13" t="s">
        <v>244</v>
      </c>
      <c r="B697" s="13" t="n">
        <v>3</v>
      </c>
      <c r="C697" s="17" t="n">
        <f aca="false">B697/100*Notas!$B$3</f>
        <v>2.85</v>
      </c>
      <c r="D697" s="17" t="n">
        <f aca="false">43.03/95*Notas!$B$3</f>
        <v>43.03</v>
      </c>
      <c r="E697" s="17" t="n">
        <f aca="false">27.21/95*Notas!$B$3</f>
        <v>27.21</v>
      </c>
      <c r="F697" s="13" t="n">
        <v>4</v>
      </c>
      <c r="G697" s="17" t="n">
        <f aca="false">14.74/95*Notas!$B$3</f>
        <v>14.74</v>
      </c>
      <c r="H697" s="17" t="n">
        <f aca="false">16.93/95*Notas!$B$3</f>
        <v>16.93</v>
      </c>
      <c r="I697" s="17" t="n">
        <f aca="false">47.71/95*Notas!$B$3</f>
        <v>47.71</v>
      </c>
      <c r="J697" s="17" t="n">
        <f aca="false">229.25/95*Notas!$B$3</f>
        <v>229.25</v>
      </c>
    </row>
    <row r="698" customFormat="false" ht="15" hidden="false" customHeight="false" outlineLevel="0" collapsed="false">
      <c r="A698" s="13" t="s">
        <v>244</v>
      </c>
      <c r="B698" s="13" t="n">
        <v>4</v>
      </c>
      <c r="C698" s="17" t="n">
        <f aca="false">B698/100*Notas!$B$3</f>
        <v>3.8</v>
      </c>
      <c r="D698" s="17" t="n">
        <f aca="false">42.92/95*Notas!$B$3</f>
        <v>42.92</v>
      </c>
      <c r="E698" s="17" t="n">
        <f aca="false">27.09/95*Notas!$B$3</f>
        <v>27.09</v>
      </c>
      <c r="F698" s="13" t="n">
        <v>4</v>
      </c>
      <c r="G698" s="17" t="n">
        <f aca="false">14.74/95*Notas!$B$3</f>
        <v>14.74</v>
      </c>
      <c r="H698" s="17" t="n">
        <f aca="false">17.01/95*Notas!$B$3</f>
        <v>17.01</v>
      </c>
      <c r="I698" s="17" t="n">
        <f aca="false">47.81/95*Notas!$B$3</f>
        <v>47.81</v>
      </c>
      <c r="J698" s="17" t="n">
        <f aca="false">228.81/95*Notas!$B$3</f>
        <v>228.81</v>
      </c>
    </row>
    <row r="699" customFormat="false" ht="15" hidden="false" customHeight="false" outlineLevel="0" collapsed="false">
      <c r="A699" s="13" t="s">
        <v>244</v>
      </c>
      <c r="B699" s="13" t="n">
        <v>5</v>
      </c>
      <c r="C699" s="17" t="n">
        <f aca="false">B699/100*Notas!$B$3</f>
        <v>4.75</v>
      </c>
      <c r="D699" s="17" t="n">
        <f aca="false">42.9/95*Notas!$B$3</f>
        <v>42.9</v>
      </c>
      <c r="E699" s="17" t="n">
        <f aca="false">27.22/95*Notas!$B$3</f>
        <v>27.22</v>
      </c>
      <c r="F699" s="13" t="n">
        <v>4</v>
      </c>
      <c r="G699" s="17" t="n">
        <f aca="false">14.72/95*Notas!$B$3</f>
        <v>14.72</v>
      </c>
      <c r="H699" s="17" t="n">
        <f aca="false">17.13/95*Notas!$B$3</f>
        <v>17.13</v>
      </c>
      <c r="I699" s="17" t="n">
        <f aca="false">47.62/95*Notas!$B$3</f>
        <v>47.62</v>
      </c>
      <c r="J699" s="17" t="n">
        <f aca="false">228.71/95*Notas!$B$3</f>
        <v>228.71</v>
      </c>
    </row>
    <row r="700" customFormat="false" ht="15" hidden="false" customHeight="false" outlineLevel="0" collapsed="false">
      <c r="A700" s="13" t="s">
        <v>244</v>
      </c>
      <c r="B700" s="13" t="n">
        <v>6</v>
      </c>
      <c r="C700" s="17" t="n">
        <f aca="false">B700/100*Notas!$B$3</f>
        <v>5.7</v>
      </c>
      <c r="D700" s="17" t="n">
        <f aca="false">42.88/95*Notas!$B$3</f>
        <v>42.88</v>
      </c>
      <c r="E700" s="17" t="n">
        <f aca="false">27.18/95*Notas!$B$3</f>
        <v>27.18</v>
      </c>
      <c r="F700" s="13" t="n">
        <v>4</v>
      </c>
      <c r="G700" s="17" t="n">
        <f aca="false">20.49/95*Notas!$B$3</f>
        <v>20.49</v>
      </c>
      <c r="H700" s="17" t="n">
        <f aca="false">22.97/95*Notas!$B$3</f>
        <v>22.97</v>
      </c>
      <c r="I700" s="17" t="n">
        <f aca="false">63.75/95*Notas!$B$3</f>
        <v>63.75</v>
      </c>
      <c r="J700" s="17" t="n">
        <f aca="false">226.86/95*Notas!$B$3</f>
        <v>226.86</v>
      </c>
    </row>
    <row r="701" customFormat="false" ht="15" hidden="false" customHeight="false" outlineLevel="0" collapsed="false">
      <c r="A701" s="13" t="s">
        <v>244</v>
      </c>
      <c r="B701" s="13" t="n">
        <v>7</v>
      </c>
      <c r="C701" s="17" t="n">
        <f aca="false">B701/100*Notas!$B$3</f>
        <v>6.65</v>
      </c>
      <c r="D701" s="17" t="n">
        <f aca="false">42.69/95*Notas!$B$3</f>
        <v>42.69</v>
      </c>
      <c r="E701" s="17" t="n">
        <f aca="false">26.72/95*Notas!$B$3</f>
        <v>26.72</v>
      </c>
      <c r="F701" s="13" t="n">
        <v>5</v>
      </c>
      <c r="G701" s="17" t="n">
        <f aca="false">3.26/95*Notas!$B$3</f>
        <v>3.26</v>
      </c>
      <c r="H701" s="17" t="n">
        <f aca="false">3.22/95*Notas!$B$3</f>
        <v>3.22</v>
      </c>
      <c r="I701" s="17" t="n">
        <f aca="false">10.28/95*Notas!$B$3</f>
        <v>10.28</v>
      </c>
      <c r="J701" s="17" t="n">
        <f aca="false">232.37/95*Notas!$B$3</f>
        <v>232.37</v>
      </c>
    </row>
    <row r="702" customFormat="false" ht="15" hidden="false" customHeight="false" outlineLevel="0" collapsed="false">
      <c r="A702" s="13" t="s">
        <v>244</v>
      </c>
      <c r="B702" s="13" t="n">
        <v>8</v>
      </c>
      <c r="C702" s="17" t="n">
        <f aca="false">B702/100*Notas!$B$3</f>
        <v>7.6</v>
      </c>
      <c r="D702" s="17" t="n">
        <f aca="false">41.83/95*Notas!$B$3</f>
        <v>41.83</v>
      </c>
      <c r="E702" s="17" t="n">
        <f aca="false">26.42/95*Notas!$B$3</f>
        <v>26.42</v>
      </c>
      <c r="F702" s="13" t="n">
        <v>4</v>
      </c>
      <c r="G702" s="17" t="n">
        <f aca="false">20.12/95*Notas!$B$3</f>
        <v>20.12</v>
      </c>
      <c r="H702" s="17" t="n">
        <f aca="false">21.74/95*Notas!$B$3</f>
        <v>21.74</v>
      </c>
      <c r="I702" s="17" t="n">
        <f aca="false">62.83/95*Notas!$B$3</f>
        <v>62.83</v>
      </c>
      <c r="J702" s="17" t="n">
        <f aca="false">178.68/95*Notas!$B$3</f>
        <v>178.68</v>
      </c>
    </row>
    <row r="703" customFormat="false" ht="15" hidden="false" customHeight="false" outlineLevel="0" collapsed="false">
      <c r="A703" s="13" t="s">
        <v>244</v>
      </c>
      <c r="B703" s="13" t="n">
        <v>9</v>
      </c>
      <c r="C703" s="17" t="n">
        <f aca="false">B703/100*Notas!$B$3</f>
        <v>8.55</v>
      </c>
      <c r="D703" s="17" t="n">
        <f aca="false">37.32/95*Notas!$B$3</f>
        <v>37.32</v>
      </c>
      <c r="E703" s="17" t="n">
        <f aca="false">24.67/95*Notas!$B$3</f>
        <v>24.67</v>
      </c>
      <c r="F703" s="13" t="n">
        <v>2</v>
      </c>
      <c r="G703" s="17" t="n">
        <f aca="false">16.94/95*Notas!$B$3</f>
        <v>16.94</v>
      </c>
      <c r="H703" s="17" t="n">
        <f aca="false">20.38/95*Notas!$B$3</f>
        <v>20.38</v>
      </c>
      <c r="I703" s="17" t="n">
        <f aca="false">57.97/95*Notas!$B$3</f>
        <v>57.97</v>
      </c>
      <c r="J703" s="17" t="n">
        <f aca="false">118.98/95*Notas!$B$3</f>
        <v>118.98</v>
      </c>
    </row>
    <row r="704" customFormat="false" ht="15" hidden="false" customHeight="false" outlineLevel="0" collapsed="false">
      <c r="A704" s="13" t="s">
        <v>244</v>
      </c>
      <c r="B704" s="13" t="n">
        <v>10</v>
      </c>
      <c r="C704" s="17" t="n">
        <f aca="false">B704/100*Notas!$B$3</f>
        <v>9.5</v>
      </c>
      <c r="D704" s="17" t="n">
        <f aca="false">34.02/95*Notas!$B$3</f>
        <v>34.02</v>
      </c>
      <c r="E704" s="17" t="n">
        <f aca="false">16.31/95*Notas!$B$3</f>
        <v>16.31</v>
      </c>
      <c r="F704" s="13" t="n">
        <v>2</v>
      </c>
      <c r="G704" s="17" t="n">
        <f aca="false">16.01/95*Notas!$B$3</f>
        <v>16.01</v>
      </c>
      <c r="H704" s="17" t="n">
        <f aca="false">14.96/95*Notas!$B$3</f>
        <v>14.96</v>
      </c>
      <c r="I704" s="17" t="n">
        <f aca="false">47.1/95*Notas!$B$3</f>
        <v>47.1</v>
      </c>
      <c r="J704" s="17" t="n">
        <f aca="false">89.84/95*Notas!$B$3</f>
        <v>89.84</v>
      </c>
    </row>
    <row r="705" customFormat="false" ht="15" hidden="false" customHeight="false" outlineLevel="0" collapsed="false">
      <c r="A705" s="13" t="s">
        <v>244</v>
      </c>
      <c r="B705" s="13" t="n">
        <v>11</v>
      </c>
      <c r="C705" s="17" t="n">
        <f aca="false">B705/100*Notas!$B$3</f>
        <v>10.45</v>
      </c>
      <c r="D705" s="17" t="n">
        <f aca="false">33.92/95*Notas!$B$3</f>
        <v>33.92</v>
      </c>
      <c r="E705" s="17" t="n">
        <f aca="false">16.25/95*Notas!$B$3</f>
        <v>16.25</v>
      </c>
      <c r="F705" s="13" t="n">
        <v>2</v>
      </c>
      <c r="G705" s="17" t="n">
        <f aca="false">15.98/95*Notas!$B$3</f>
        <v>15.98</v>
      </c>
      <c r="H705" s="17" t="n">
        <f aca="false">14.83/95*Notas!$B$3</f>
        <v>14.83</v>
      </c>
      <c r="I705" s="17" t="n">
        <f aca="false">46.95/95*Notas!$B$3</f>
        <v>46.95</v>
      </c>
      <c r="J705" s="17" t="n">
        <f aca="false">89.78/95*Notas!$B$3</f>
        <v>89.78</v>
      </c>
    </row>
    <row r="706" customFormat="false" ht="15" hidden="false" customHeight="false" outlineLevel="0" collapsed="false">
      <c r="A706" s="13" t="s">
        <v>244</v>
      </c>
      <c r="B706" s="13" t="n">
        <v>12</v>
      </c>
      <c r="C706" s="17" t="n">
        <f aca="false">B706/100*Notas!$B$3</f>
        <v>11.4</v>
      </c>
      <c r="D706" s="17" t="n">
        <f aca="false">33.79/95*Notas!$B$3</f>
        <v>33.79</v>
      </c>
      <c r="E706" s="17" t="n">
        <f aca="false">16.1/95*Notas!$B$3</f>
        <v>16.1</v>
      </c>
      <c r="F706" s="13" t="n">
        <v>2</v>
      </c>
      <c r="G706" s="17" t="n">
        <f aca="false">15.94/95*Notas!$B$3</f>
        <v>15.94</v>
      </c>
      <c r="H706" s="17" t="n">
        <f aca="false">14.68/95*Notas!$B$3</f>
        <v>14.68</v>
      </c>
      <c r="I706" s="17" t="n">
        <f aca="false">46.25/95*Notas!$B$3</f>
        <v>46.25</v>
      </c>
      <c r="J706" s="17" t="n">
        <f aca="false">89.08/95*Notas!$B$3</f>
        <v>89.08</v>
      </c>
    </row>
    <row r="707" customFormat="false" ht="15" hidden="false" customHeight="false" outlineLevel="0" collapsed="false">
      <c r="A707" s="13" t="s">
        <v>244</v>
      </c>
      <c r="B707" s="13" t="n">
        <v>13</v>
      </c>
      <c r="C707" s="17" t="n">
        <f aca="false">B707/100*Notas!$B$3</f>
        <v>12.35</v>
      </c>
      <c r="D707" s="17" t="n">
        <f aca="false">33.67/95*Notas!$B$3</f>
        <v>33.67</v>
      </c>
      <c r="E707" s="17" t="n">
        <f aca="false">15.93/95*Notas!$B$3</f>
        <v>15.93</v>
      </c>
      <c r="F707" s="13" t="n">
        <v>2</v>
      </c>
      <c r="G707" s="17" t="n">
        <f aca="false">15.06/95*Notas!$B$3</f>
        <v>15.06</v>
      </c>
      <c r="H707" s="17" t="n">
        <f aca="false">14.16/95*Notas!$B$3</f>
        <v>14.16</v>
      </c>
      <c r="I707" s="17" t="n">
        <f aca="false">44.73/95*Notas!$B$3</f>
        <v>44.73</v>
      </c>
      <c r="J707" s="17" t="n">
        <f aca="false">85.79/95*Notas!$B$3</f>
        <v>85.79</v>
      </c>
    </row>
    <row r="708" customFormat="false" ht="15" hidden="false" customHeight="false" outlineLevel="0" collapsed="false">
      <c r="A708" s="13" t="s">
        <v>244</v>
      </c>
      <c r="B708" s="13" t="n">
        <v>14</v>
      </c>
      <c r="C708" s="17" t="n">
        <f aca="false">B708/100*Notas!$B$3</f>
        <v>13.3</v>
      </c>
      <c r="D708" s="17" t="n">
        <f aca="false">31.96/95*Notas!$B$3</f>
        <v>31.96</v>
      </c>
      <c r="E708" s="17" t="n">
        <f aca="false">13.72/95*Notas!$B$3</f>
        <v>13.72</v>
      </c>
      <c r="F708" s="13" t="n">
        <v>3</v>
      </c>
      <c r="G708" s="17" t="n">
        <f aca="false">13.03/95*Notas!$B$3</f>
        <v>13.03</v>
      </c>
      <c r="H708" s="17" t="n">
        <f aca="false">13.03/95*Notas!$B$3</f>
        <v>13.03</v>
      </c>
      <c r="I708" s="17" t="n">
        <f aca="false">40.05/95*Notas!$B$3</f>
        <v>40.05</v>
      </c>
      <c r="J708" s="17" t="n">
        <f aca="false">78.17/95*Notas!$B$3</f>
        <v>78.17</v>
      </c>
    </row>
    <row r="709" customFormat="false" ht="15" hidden="false" customHeight="false" outlineLevel="0" collapsed="false">
      <c r="A709" s="13" t="s">
        <v>244</v>
      </c>
      <c r="B709" s="13" t="n">
        <v>15</v>
      </c>
      <c r="C709" s="17" t="n">
        <f aca="false">B709/100*Notas!$B$3</f>
        <v>14.25</v>
      </c>
      <c r="D709" s="17" t="n">
        <f aca="false">29.72/95*Notas!$B$3</f>
        <v>29.72</v>
      </c>
      <c r="E709" s="17" t="n">
        <f aca="false">13.56/95*Notas!$B$3</f>
        <v>13.56</v>
      </c>
      <c r="F709" s="13" t="n">
        <v>2</v>
      </c>
      <c r="G709" s="17" t="n">
        <f aca="false">12.98/95*Notas!$B$3</f>
        <v>12.98</v>
      </c>
      <c r="H709" s="17" t="n">
        <f aca="false">13.05/95*Notas!$B$3</f>
        <v>13.05</v>
      </c>
      <c r="I709" s="17" t="n">
        <f aca="false">40.01/95*Notas!$B$3</f>
        <v>40.01</v>
      </c>
      <c r="J709" s="17" t="n">
        <f aca="false">77.05/95*Notas!$B$3</f>
        <v>77.05</v>
      </c>
    </row>
    <row r="710" customFormat="false" ht="15" hidden="false" customHeight="false" outlineLevel="0" collapsed="false">
      <c r="A710" s="13" t="s">
        <v>244</v>
      </c>
      <c r="B710" s="13" t="n">
        <v>16</v>
      </c>
      <c r="C710" s="17" t="n">
        <f aca="false">B710/100*Notas!$B$3</f>
        <v>15.2</v>
      </c>
      <c r="D710" s="17" t="n">
        <f aca="false">29.32/95*Notas!$B$3</f>
        <v>29.32</v>
      </c>
      <c r="E710" s="17" t="n">
        <f aca="false">13.4/95*Notas!$B$3</f>
        <v>13.4</v>
      </c>
      <c r="F710" s="13" t="n">
        <v>2</v>
      </c>
      <c r="G710" s="17" t="n">
        <f aca="false">12.95/95*Notas!$B$3</f>
        <v>12.95</v>
      </c>
      <c r="H710" s="17" t="n">
        <f aca="false">13.08/95*Notas!$B$3</f>
        <v>13.08</v>
      </c>
      <c r="I710" s="17" t="n">
        <f aca="false">40.01/95*Notas!$B$3</f>
        <v>40.01</v>
      </c>
      <c r="J710" s="17" t="n">
        <f aca="false">77.06/95*Notas!$B$3</f>
        <v>77.06</v>
      </c>
    </row>
    <row r="711" customFormat="false" ht="15" hidden="false" customHeight="false" outlineLevel="0" collapsed="false">
      <c r="A711" s="13" t="s">
        <v>244</v>
      </c>
      <c r="B711" s="13" t="n">
        <v>17</v>
      </c>
      <c r="C711" s="17" t="n">
        <f aca="false">B711/100*Notas!$B$3</f>
        <v>16.15</v>
      </c>
      <c r="D711" s="17" t="n">
        <f aca="false">28.89/95*Notas!$B$3</f>
        <v>28.89</v>
      </c>
      <c r="E711" s="17" t="n">
        <f aca="false">13.25/95*Notas!$B$3</f>
        <v>13.25</v>
      </c>
      <c r="F711" s="13" t="n">
        <v>2</v>
      </c>
      <c r="G711" s="17" t="n">
        <f aca="false">12.95/95*Notas!$B$3</f>
        <v>12.95</v>
      </c>
      <c r="H711" s="17" t="n">
        <f aca="false">13.1/95*Notas!$B$3</f>
        <v>13.1</v>
      </c>
      <c r="I711" s="17" t="n">
        <f aca="false">39.99/95*Notas!$B$3</f>
        <v>39.99</v>
      </c>
      <c r="J711" s="17" t="n">
        <f aca="false">77.04/95*Notas!$B$3</f>
        <v>77.04</v>
      </c>
    </row>
    <row r="712" customFormat="false" ht="15" hidden="false" customHeight="false" outlineLevel="0" collapsed="false">
      <c r="A712" s="13" t="s">
        <v>244</v>
      </c>
      <c r="B712" s="13" t="n">
        <v>18</v>
      </c>
      <c r="C712" s="17" t="n">
        <f aca="false">B712/100*Notas!$B$3</f>
        <v>17.1</v>
      </c>
      <c r="D712" s="17" t="n">
        <f aca="false">28.34/95*Notas!$B$3</f>
        <v>28.34</v>
      </c>
      <c r="E712" s="17" t="n">
        <f aca="false">13.12/95*Notas!$B$3</f>
        <v>13.12</v>
      </c>
      <c r="F712" s="13" t="n">
        <v>2</v>
      </c>
      <c r="G712" s="17" t="n">
        <f aca="false">12.93/95*Notas!$B$3</f>
        <v>12.93</v>
      </c>
      <c r="H712" s="17" t="n">
        <f aca="false">13.12/95*Notas!$B$3</f>
        <v>13.12</v>
      </c>
      <c r="I712" s="17" t="n">
        <f aca="false">39.94/95*Notas!$B$3</f>
        <v>39.94</v>
      </c>
      <c r="J712" s="17" t="n">
        <f aca="false">76.96/95*Notas!$B$3</f>
        <v>76.96</v>
      </c>
    </row>
    <row r="713" customFormat="false" ht="15" hidden="false" customHeight="false" outlineLevel="0" collapsed="false">
      <c r="A713" s="13" t="s">
        <v>244</v>
      </c>
      <c r="B713" s="13" t="n">
        <v>19</v>
      </c>
      <c r="C713" s="17" t="n">
        <f aca="false">B713/100*Notas!$B$3</f>
        <v>18.05</v>
      </c>
      <c r="D713" s="17" t="n">
        <f aca="false">27.69/95*Notas!$B$3</f>
        <v>27.69</v>
      </c>
      <c r="E713" s="17" t="n">
        <f aca="false">13.15/95*Notas!$B$3</f>
        <v>13.15</v>
      </c>
      <c r="F713" s="13" t="n">
        <v>2</v>
      </c>
      <c r="G713" s="17" t="n">
        <f aca="false">12.91/95*Notas!$B$3</f>
        <v>12.91</v>
      </c>
      <c r="H713" s="17" t="n">
        <f aca="false">13.15/95*Notas!$B$3</f>
        <v>13.15</v>
      </c>
      <c r="I713" s="17" t="n">
        <f aca="false">39.93/95*Notas!$B$3</f>
        <v>39.93</v>
      </c>
      <c r="J713" s="17" t="n">
        <f aca="false">76.88/95*Notas!$B$3</f>
        <v>76.88</v>
      </c>
    </row>
    <row r="714" customFormat="false" ht="15" hidden="false" customHeight="false" outlineLevel="0" collapsed="false">
      <c r="A714" s="13" t="s">
        <v>244</v>
      </c>
      <c r="B714" s="13" t="n">
        <v>20</v>
      </c>
      <c r="C714" s="17" t="n">
        <f aca="false">B714/100*Notas!$B$3</f>
        <v>19</v>
      </c>
      <c r="D714" s="17" t="n">
        <f aca="false">32.97/95*Notas!$B$3</f>
        <v>32.97</v>
      </c>
      <c r="E714" s="17" t="n">
        <f aca="false">13.16/95*Notas!$B$3</f>
        <v>13.16</v>
      </c>
      <c r="F714" s="13" t="n">
        <v>3</v>
      </c>
      <c r="G714" s="17" t="n">
        <f aca="false">12.87/95*Notas!$B$3</f>
        <v>12.87</v>
      </c>
      <c r="H714" s="17" t="n">
        <f aca="false">13.16/95*Notas!$B$3</f>
        <v>13.16</v>
      </c>
      <c r="I714" s="17" t="n">
        <f aca="false">39.9/95*Notas!$B$3</f>
        <v>39.9</v>
      </c>
      <c r="J714" s="17" t="n">
        <f aca="false">96.26/95*Notas!$B$3</f>
        <v>96.26</v>
      </c>
    </row>
    <row r="715" customFormat="false" ht="15" hidden="false" customHeight="false" outlineLevel="0" collapsed="false">
      <c r="A715" s="13" t="s">
        <v>244</v>
      </c>
      <c r="B715" s="13" t="n">
        <v>21</v>
      </c>
      <c r="C715" s="17" t="n">
        <f aca="false">B715/100*Notas!$B$3</f>
        <v>19.95</v>
      </c>
      <c r="D715" s="17" t="n">
        <f aca="false">39.66/95*Notas!$B$3</f>
        <v>39.66</v>
      </c>
      <c r="E715" s="17" t="n">
        <f aca="false">14.23/95*Notas!$B$3</f>
        <v>14.23</v>
      </c>
      <c r="F715" s="13" t="n">
        <v>4</v>
      </c>
      <c r="G715" s="17" t="n">
        <f aca="false">12.78/95*Notas!$B$3</f>
        <v>12.78</v>
      </c>
      <c r="H715" s="17" t="n">
        <f aca="false">13.14/95*Notas!$B$3</f>
        <v>13.14</v>
      </c>
      <c r="I715" s="17" t="n">
        <f aca="false">39.83/95*Notas!$B$3</f>
        <v>39.83</v>
      </c>
      <c r="J715" s="17" t="n">
        <f aca="false">121.32/95*Notas!$B$3</f>
        <v>121.32</v>
      </c>
    </row>
    <row r="716" customFormat="false" ht="15" hidden="false" customHeight="false" outlineLevel="0" collapsed="false">
      <c r="A716" s="13" t="s">
        <v>244</v>
      </c>
      <c r="B716" s="13" t="n">
        <v>22</v>
      </c>
      <c r="C716" s="17" t="n">
        <f aca="false">B716/100*Notas!$B$3</f>
        <v>20.9</v>
      </c>
      <c r="D716" s="17" t="n">
        <f aca="false">40.84/95*Notas!$B$3</f>
        <v>40.84</v>
      </c>
      <c r="E716" s="17" t="n">
        <f aca="false">14.58/95*Notas!$B$3</f>
        <v>14.58</v>
      </c>
      <c r="F716" s="13" t="n">
        <v>4</v>
      </c>
      <c r="G716" s="17" t="n">
        <f aca="false">12.73/95*Notas!$B$3</f>
        <v>12.73</v>
      </c>
      <c r="H716" s="17" t="n">
        <f aca="false">13.14/95*Notas!$B$3</f>
        <v>13.14</v>
      </c>
      <c r="I716" s="17" t="n">
        <f aca="false">39.81/95*Notas!$B$3</f>
        <v>39.81</v>
      </c>
      <c r="J716" s="17" t="n">
        <f aca="false">124.52/95*Notas!$B$3</f>
        <v>124.52</v>
      </c>
    </row>
    <row r="717" customFormat="false" ht="15" hidden="false" customHeight="false" outlineLevel="0" collapsed="false">
      <c r="A717" s="13" t="s">
        <v>244</v>
      </c>
      <c r="B717" s="13" t="n">
        <v>23</v>
      </c>
      <c r="C717" s="17" t="n">
        <f aca="false">B717/100*Notas!$B$3</f>
        <v>21.85</v>
      </c>
      <c r="D717" s="17" t="n">
        <f aca="false">42/95*Notas!$B$3</f>
        <v>42</v>
      </c>
      <c r="E717" s="17" t="n">
        <f aca="false">14.57/95*Notas!$B$3</f>
        <v>14.57</v>
      </c>
      <c r="F717" s="13" t="n">
        <v>4</v>
      </c>
      <c r="G717" s="17" t="n">
        <f aca="false">12.68/95*Notas!$B$3</f>
        <v>12.68</v>
      </c>
      <c r="H717" s="17" t="n">
        <f aca="false">13.14/95*Notas!$B$3</f>
        <v>13.14</v>
      </c>
      <c r="I717" s="17" t="n">
        <f aca="false">39.87/95*Notas!$B$3</f>
        <v>39.87</v>
      </c>
      <c r="J717" s="17" t="n">
        <f aca="false">127.91/95*Notas!$B$3</f>
        <v>127.91</v>
      </c>
    </row>
    <row r="718" customFormat="false" ht="15" hidden="false" customHeight="false" outlineLevel="0" collapsed="false">
      <c r="A718" s="13" t="s">
        <v>244</v>
      </c>
      <c r="B718" s="13" t="n">
        <v>24</v>
      </c>
      <c r="C718" s="17" t="n">
        <f aca="false">B718/100*Notas!$B$3</f>
        <v>22.8</v>
      </c>
      <c r="D718" s="17" t="n">
        <f aca="false">43.05/95*Notas!$B$3</f>
        <v>43.05</v>
      </c>
      <c r="E718" s="17" t="n">
        <f aca="false">14.44/95*Notas!$B$3</f>
        <v>14.44</v>
      </c>
      <c r="F718" s="13" t="n">
        <v>5</v>
      </c>
      <c r="G718" s="17" t="n">
        <f aca="false">25.24/95*Notas!$B$3</f>
        <v>25.24</v>
      </c>
      <c r="H718" s="17" t="n">
        <f aca="false">13.1/95*Notas!$B$3</f>
        <v>13.1</v>
      </c>
      <c r="I718" s="17" t="n">
        <f aca="false">70.66/95*Notas!$B$3</f>
        <v>70.66</v>
      </c>
      <c r="J718" s="17" t="n">
        <f aca="false">136.68/95*Notas!$B$3</f>
        <v>136.68</v>
      </c>
    </row>
    <row r="719" customFormat="false" ht="15" hidden="false" customHeight="false" outlineLevel="0" collapsed="false">
      <c r="A719" s="13" t="s">
        <v>244</v>
      </c>
      <c r="B719" s="13" t="n">
        <v>25</v>
      </c>
      <c r="C719" s="17" t="n">
        <f aca="false">B719/100*Notas!$B$3</f>
        <v>23.75</v>
      </c>
      <c r="D719" s="17" t="n">
        <f aca="false">43.11/95*Notas!$B$3</f>
        <v>43.11</v>
      </c>
      <c r="E719" s="17" t="n">
        <f aca="false">14.41/95*Notas!$B$3</f>
        <v>14.41</v>
      </c>
      <c r="F719" s="13" t="n">
        <v>4</v>
      </c>
      <c r="G719" s="17" t="n">
        <f aca="false">26.95/95*Notas!$B$3</f>
        <v>26.95</v>
      </c>
      <c r="H719" s="17" t="n">
        <f aca="false">14.16/95*Notas!$B$3</f>
        <v>14.16</v>
      </c>
      <c r="I719" s="17" t="n">
        <f aca="false">75.08/95*Notas!$B$3</f>
        <v>75.08</v>
      </c>
      <c r="J719" s="17" t="n">
        <f aca="false">135.54/95*Notas!$B$3</f>
        <v>135.54</v>
      </c>
    </row>
    <row r="720" customFormat="false" ht="15" hidden="false" customHeight="false" outlineLevel="0" collapsed="false">
      <c r="A720" s="13" t="s">
        <v>244</v>
      </c>
      <c r="B720" s="13" t="n">
        <v>26</v>
      </c>
      <c r="C720" s="17" t="n">
        <f aca="false">B720/100*Notas!$B$3</f>
        <v>24.7</v>
      </c>
      <c r="D720" s="17" t="n">
        <f aca="false">42.72/95*Notas!$B$3</f>
        <v>42.72</v>
      </c>
      <c r="E720" s="17" t="n">
        <f aca="false">14.34/95*Notas!$B$3</f>
        <v>14.34</v>
      </c>
      <c r="F720" s="13" t="n">
        <v>4</v>
      </c>
      <c r="G720" s="17" t="n">
        <f aca="false">27.09/95*Notas!$B$3</f>
        <v>27.09</v>
      </c>
      <c r="H720" s="17" t="n">
        <f aca="false">14/95*Notas!$B$3</f>
        <v>14</v>
      </c>
      <c r="I720" s="17" t="n">
        <f aca="false">73.91/95*Notas!$B$3</f>
        <v>73.91</v>
      </c>
      <c r="J720" s="17" t="n">
        <f aca="false">135.79/95*Notas!$B$3</f>
        <v>135.79</v>
      </c>
    </row>
    <row r="721" customFormat="false" ht="15" hidden="false" customHeight="false" outlineLevel="0" collapsed="false">
      <c r="A721" s="13" t="s">
        <v>244</v>
      </c>
      <c r="B721" s="13" t="n">
        <v>27</v>
      </c>
      <c r="C721" s="17" t="n">
        <f aca="false">B721/100*Notas!$B$3</f>
        <v>25.65</v>
      </c>
      <c r="D721" s="17" t="n">
        <f aca="false">42.33/95*Notas!$B$3</f>
        <v>42.33</v>
      </c>
      <c r="E721" s="17" t="n">
        <f aca="false">14.4/95*Notas!$B$3</f>
        <v>14.4</v>
      </c>
      <c r="F721" s="13" t="n">
        <v>2</v>
      </c>
      <c r="G721" s="17" t="n">
        <f aca="false">32.35/95*Notas!$B$3</f>
        <v>32.35</v>
      </c>
      <c r="H721" s="17" t="n">
        <f aca="false">14.16/95*Notas!$B$3</f>
        <v>14.16</v>
      </c>
      <c r="I721" s="17" t="n">
        <f aca="false">93.41/95*Notas!$B$3</f>
        <v>93.41</v>
      </c>
      <c r="J721" s="17" t="n">
        <f aca="false">132.82/95*Notas!$B$3</f>
        <v>132.82</v>
      </c>
    </row>
    <row r="722" customFormat="false" ht="15" hidden="false" customHeight="false" outlineLevel="0" collapsed="false">
      <c r="A722" s="13" t="s">
        <v>244</v>
      </c>
      <c r="B722" s="13" t="n">
        <v>28</v>
      </c>
      <c r="C722" s="17" t="n">
        <f aca="false">B722/100*Notas!$B$3</f>
        <v>26.6</v>
      </c>
      <c r="D722" s="17" t="n">
        <f aca="false">41.87/95*Notas!$B$3</f>
        <v>41.87</v>
      </c>
      <c r="E722" s="17" t="n">
        <f aca="false">14.9/95*Notas!$B$3</f>
        <v>14.9</v>
      </c>
      <c r="F722" s="13" t="n">
        <v>3</v>
      </c>
      <c r="G722" s="17" t="n">
        <f aca="false">23.25/95*Notas!$B$3</f>
        <v>23.25</v>
      </c>
      <c r="H722" s="17" t="n">
        <f aca="false">14.9/95*Notas!$B$3</f>
        <v>14.9</v>
      </c>
      <c r="I722" s="17" t="n">
        <f aca="false">61.72/95*Notas!$B$3</f>
        <v>61.72</v>
      </c>
      <c r="J722" s="17" t="n">
        <f aca="false">125.75/95*Notas!$B$3</f>
        <v>125.75</v>
      </c>
    </row>
    <row r="723" customFormat="false" ht="15" hidden="false" customHeight="false" outlineLevel="0" collapsed="false">
      <c r="A723" s="13" t="s">
        <v>244</v>
      </c>
      <c r="B723" s="13" t="n">
        <v>29</v>
      </c>
      <c r="C723" s="17" t="n">
        <f aca="false">B723/100*Notas!$B$3</f>
        <v>27.55</v>
      </c>
      <c r="D723" s="17" t="n">
        <f aca="false">41.4/95*Notas!$B$3</f>
        <v>41.4</v>
      </c>
      <c r="E723" s="17" t="n">
        <f aca="false">19.7/95*Notas!$B$3</f>
        <v>19.7</v>
      </c>
      <c r="F723" s="13" t="n">
        <v>4</v>
      </c>
      <c r="G723" s="17" t="n">
        <f aca="false">1.7/95*Notas!$B$3</f>
        <v>1.7</v>
      </c>
      <c r="H723" s="17" t="n">
        <f aca="false">0.71/95*Notas!$B$3</f>
        <v>0.71</v>
      </c>
      <c r="I723" s="17" t="n">
        <f aca="false">3.92/95*Notas!$B$3</f>
        <v>3.92</v>
      </c>
      <c r="J723" s="17" t="n">
        <f aca="false">125.66/95*Notas!$B$3</f>
        <v>125.66</v>
      </c>
    </row>
    <row r="724" customFormat="false" ht="15" hidden="false" customHeight="false" outlineLevel="0" collapsed="false">
      <c r="A724" s="13" t="s">
        <v>244</v>
      </c>
      <c r="B724" s="13" t="n">
        <v>30</v>
      </c>
      <c r="C724" s="17" t="n">
        <f aca="false">B724/100*Notas!$B$3</f>
        <v>28.5</v>
      </c>
      <c r="D724" s="17" t="n">
        <f aca="false">40.91/95*Notas!$B$3</f>
        <v>40.91</v>
      </c>
      <c r="E724" s="17" t="n">
        <f aca="false">19.45/95*Notas!$B$3</f>
        <v>19.45</v>
      </c>
      <c r="F724" s="13" t="n">
        <v>4</v>
      </c>
      <c r="G724" s="17" t="n">
        <f aca="false">4.24/95*Notas!$B$3</f>
        <v>4.24</v>
      </c>
      <c r="H724" s="17" t="n">
        <f aca="false">3.02/95*Notas!$B$3</f>
        <v>3.02</v>
      </c>
      <c r="I724" s="17" t="n">
        <f aca="false">12.58/95*Notas!$B$3</f>
        <v>12.58</v>
      </c>
      <c r="J724" s="17" t="n">
        <f aca="false">130.44/95*Notas!$B$3</f>
        <v>130.44</v>
      </c>
    </row>
    <row r="725" customFormat="false" ht="15" hidden="false" customHeight="false" outlineLevel="0" collapsed="false">
      <c r="A725" s="13" t="s">
        <v>244</v>
      </c>
      <c r="B725" s="13" t="n">
        <v>31</v>
      </c>
      <c r="C725" s="17" t="n">
        <f aca="false">B725/100*Notas!$B$3</f>
        <v>29.45</v>
      </c>
      <c r="D725" s="17" t="n">
        <f aca="false">40.37/95*Notas!$B$3</f>
        <v>40.37</v>
      </c>
      <c r="E725" s="17" t="n">
        <f aca="false">19.15/95*Notas!$B$3</f>
        <v>19.15</v>
      </c>
      <c r="F725" s="13" t="n">
        <v>3</v>
      </c>
      <c r="G725" s="17" t="n">
        <f aca="false">21.65/95*Notas!$B$3</f>
        <v>21.65</v>
      </c>
      <c r="H725" s="17" t="n">
        <f aca="false">19.15/95*Notas!$B$3</f>
        <v>19.15</v>
      </c>
      <c r="I725" s="17" t="n">
        <f aca="false">70.75/95*Notas!$B$3</f>
        <v>70.75</v>
      </c>
      <c r="J725" s="17" t="n">
        <f aca="false">126.7/95*Notas!$B$3</f>
        <v>126.7</v>
      </c>
    </row>
    <row r="726" customFormat="false" ht="15" hidden="false" customHeight="false" outlineLevel="0" collapsed="false">
      <c r="A726" s="13" t="s">
        <v>244</v>
      </c>
      <c r="B726" s="13" t="n">
        <v>32</v>
      </c>
      <c r="C726" s="17" t="n">
        <f aca="false">B726/100*Notas!$B$3</f>
        <v>30.4</v>
      </c>
      <c r="D726" s="17" t="n">
        <f aca="false">39.83/95*Notas!$B$3</f>
        <v>39.83</v>
      </c>
      <c r="E726" s="17" t="n">
        <f aca="false">18.87/95*Notas!$B$3</f>
        <v>18.87</v>
      </c>
      <c r="F726" s="13" t="n">
        <v>3</v>
      </c>
      <c r="G726" s="17" t="n">
        <f aca="false">21.12/95*Notas!$B$3</f>
        <v>21.12</v>
      </c>
      <c r="H726" s="17" t="n">
        <f aca="false">18.87/95*Notas!$B$3</f>
        <v>18.87</v>
      </c>
      <c r="I726" s="17" t="n">
        <f aca="false">77.39/95*Notas!$B$3</f>
        <v>77.39</v>
      </c>
      <c r="J726" s="17" t="n">
        <f aca="false">129.84/95*Notas!$B$3</f>
        <v>129.84</v>
      </c>
    </row>
    <row r="727" customFormat="false" ht="15" hidden="false" customHeight="false" outlineLevel="0" collapsed="false">
      <c r="A727" s="13" t="s">
        <v>244</v>
      </c>
      <c r="B727" s="13" t="n">
        <v>33</v>
      </c>
      <c r="C727" s="17" t="n">
        <f aca="false">B727/100*Notas!$B$3</f>
        <v>31.35</v>
      </c>
      <c r="D727" s="17" t="n">
        <f aca="false">39.3/95*Notas!$B$3</f>
        <v>39.3</v>
      </c>
      <c r="E727" s="17" t="n">
        <f aca="false">18.86/95*Notas!$B$3</f>
        <v>18.86</v>
      </c>
      <c r="F727" s="13" t="n">
        <v>3</v>
      </c>
      <c r="G727" s="17" t="n">
        <f aca="false">20.58/95*Notas!$B$3</f>
        <v>20.58</v>
      </c>
      <c r="H727" s="17" t="n">
        <f aca="false">18.86/95*Notas!$B$3</f>
        <v>18.86</v>
      </c>
      <c r="I727" s="17" t="n">
        <f aca="false">69.84/95*Notas!$B$3</f>
        <v>69.84</v>
      </c>
      <c r="J727" s="17" t="n">
        <f aca="false">120/95*Notas!$B$3</f>
        <v>120</v>
      </c>
    </row>
    <row r="728" customFormat="false" ht="15" hidden="false" customHeight="false" outlineLevel="0" collapsed="false">
      <c r="A728" s="13" t="s">
        <v>244</v>
      </c>
      <c r="B728" s="13" t="n">
        <v>34</v>
      </c>
      <c r="C728" s="17" t="n">
        <f aca="false">B728/100*Notas!$B$3</f>
        <v>32.3</v>
      </c>
      <c r="D728" s="17" t="n">
        <f aca="false">38.86/95*Notas!$B$3</f>
        <v>38.86</v>
      </c>
      <c r="E728" s="17" t="n">
        <f aca="false">19.2/95*Notas!$B$3</f>
        <v>19.2</v>
      </c>
      <c r="F728" s="13" t="n">
        <v>2</v>
      </c>
      <c r="G728" s="17" t="n">
        <f aca="false">29.53/95*Notas!$B$3</f>
        <v>29.53</v>
      </c>
      <c r="H728" s="17" t="n">
        <f aca="false">19.2/95*Notas!$B$3</f>
        <v>19.2</v>
      </c>
      <c r="I728" s="17" t="n">
        <f aca="false">99.97/95*Notas!$B$3</f>
        <v>99.97</v>
      </c>
      <c r="J728" s="17" t="n">
        <f aca="false">124.43/95*Notas!$B$3</f>
        <v>124.43</v>
      </c>
    </row>
    <row r="729" customFormat="false" ht="15" hidden="false" customHeight="false" outlineLevel="0" collapsed="false">
      <c r="A729" s="13" t="s">
        <v>244</v>
      </c>
      <c r="B729" s="13" t="n">
        <v>35</v>
      </c>
      <c r="C729" s="17" t="n">
        <f aca="false">B729/100*Notas!$B$3</f>
        <v>33.25</v>
      </c>
      <c r="D729" s="17" t="n">
        <f aca="false">38.48/95*Notas!$B$3</f>
        <v>38.48</v>
      </c>
      <c r="E729" s="17" t="n">
        <f aca="false">20.34/95*Notas!$B$3</f>
        <v>20.34</v>
      </c>
      <c r="F729" s="13" t="n">
        <v>2</v>
      </c>
      <c r="G729" s="17" t="n">
        <f aca="false">29.16/95*Notas!$B$3</f>
        <v>29.16</v>
      </c>
      <c r="H729" s="17" t="n">
        <f aca="false">20.34/95*Notas!$B$3</f>
        <v>20.34</v>
      </c>
      <c r="I729" s="17" t="n">
        <f aca="false">98.42/95*Notas!$B$3</f>
        <v>98.42</v>
      </c>
      <c r="J729" s="17" t="n">
        <f aca="false">128.54/95*Notas!$B$3</f>
        <v>128.54</v>
      </c>
    </row>
    <row r="730" customFormat="false" ht="15" hidden="false" customHeight="false" outlineLevel="0" collapsed="false">
      <c r="A730" s="13" t="s">
        <v>244</v>
      </c>
      <c r="B730" s="13" t="n">
        <v>36</v>
      </c>
      <c r="C730" s="17" t="n">
        <f aca="false">B730/100*Notas!$B$3</f>
        <v>34.2</v>
      </c>
      <c r="D730" s="17" t="n">
        <f aca="false">39.25/95*Notas!$B$3</f>
        <v>39.25</v>
      </c>
      <c r="E730" s="17" t="n">
        <f aca="false">20.61/95*Notas!$B$3</f>
        <v>20.61</v>
      </c>
      <c r="F730" s="13" t="n">
        <v>2</v>
      </c>
      <c r="G730" s="17" t="n">
        <f aca="false">29.86/95*Notas!$B$3</f>
        <v>29.86</v>
      </c>
      <c r="H730" s="17" t="n">
        <f aca="false">20.61/95*Notas!$B$3</f>
        <v>20.61</v>
      </c>
      <c r="I730" s="17" t="n">
        <f aca="false">102.58/95*Notas!$B$3</f>
        <v>102.58</v>
      </c>
      <c r="J730" s="17" t="n">
        <f aca="false">133.97/95*Notas!$B$3</f>
        <v>133.97</v>
      </c>
    </row>
    <row r="731" customFormat="false" ht="15" hidden="false" customHeight="false" outlineLevel="0" collapsed="false">
      <c r="A731" s="13" t="s">
        <v>244</v>
      </c>
      <c r="B731" s="13" t="n">
        <v>37</v>
      </c>
      <c r="C731" s="17" t="n">
        <f aca="false">B731/100*Notas!$B$3</f>
        <v>35.15</v>
      </c>
      <c r="D731" s="17" t="n">
        <f aca="false">41.81/95*Notas!$B$3</f>
        <v>41.81</v>
      </c>
      <c r="E731" s="17" t="n">
        <f aca="false">20.54/95*Notas!$B$3</f>
        <v>20.54</v>
      </c>
      <c r="F731" s="13" t="n">
        <v>3</v>
      </c>
      <c r="G731" s="17" t="n">
        <f aca="false">21.19/95*Notas!$B$3</f>
        <v>21.19</v>
      </c>
      <c r="H731" s="17" t="n">
        <f aca="false">20.54/95*Notas!$B$3</f>
        <v>20.54</v>
      </c>
      <c r="I731" s="17" t="n">
        <f aca="false">69.72/95*Notas!$B$3</f>
        <v>69.72</v>
      </c>
      <c r="J731" s="17" t="n">
        <f aca="false">135.98/95*Notas!$B$3</f>
        <v>135.98</v>
      </c>
    </row>
    <row r="732" customFormat="false" ht="15" hidden="false" customHeight="false" outlineLevel="0" collapsed="false">
      <c r="A732" s="13" t="s">
        <v>244</v>
      </c>
      <c r="B732" s="13" t="n">
        <v>38</v>
      </c>
      <c r="C732" s="17" t="n">
        <f aca="false">B732/100*Notas!$B$3</f>
        <v>36.1</v>
      </c>
      <c r="D732" s="17" t="n">
        <f aca="false">42.01/95*Notas!$B$3</f>
        <v>42.01</v>
      </c>
      <c r="E732" s="17" t="n">
        <f aca="false">20.47/95*Notas!$B$3</f>
        <v>20.47</v>
      </c>
      <c r="F732" s="13" t="n">
        <v>3</v>
      </c>
      <c r="G732" s="17" t="n">
        <f aca="false">20.69/95*Notas!$B$3</f>
        <v>20.69</v>
      </c>
      <c r="H732" s="17" t="n">
        <f aca="false">20.47/95*Notas!$B$3</f>
        <v>20.47</v>
      </c>
      <c r="I732" s="17" t="n">
        <f aca="false">68.95/95*Notas!$B$3</f>
        <v>68.95</v>
      </c>
      <c r="J732" s="17" t="n">
        <f aca="false">135.95/95*Notas!$B$3</f>
        <v>135.95</v>
      </c>
    </row>
    <row r="733" customFormat="false" ht="15" hidden="false" customHeight="false" outlineLevel="0" collapsed="false">
      <c r="A733" s="13" t="s">
        <v>244</v>
      </c>
      <c r="B733" s="13" t="n">
        <v>39</v>
      </c>
      <c r="C733" s="17" t="n">
        <f aca="false">B733/100*Notas!$B$3</f>
        <v>37.05</v>
      </c>
      <c r="D733" s="17" t="n">
        <f aca="false">41.6/95*Notas!$B$3</f>
        <v>41.6</v>
      </c>
      <c r="E733" s="17" t="n">
        <f aca="false">20.22/95*Notas!$B$3</f>
        <v>20.22</v>
      </c>
      <c r="F733" s="13" t="n">
        <v>3</v>
      </c>
      <c r="G733" s="17" t="n">
        <f aca="false">20.21/95*Notas!$B$3</f>
        <v>20.21</v>
      </c>
      <c r="H733" s="17" t="n">
        <f aca="false">20.22/95*Notas!$B$3</f>
        <v>20.22</v>
      </c>
      <c r="I733" s="17" t="n">
        <f aca="false">67.86/95*Notas!$B$3</f>
        <v>67.86</v>
      </c>
      <c r="J733" s="17" t="n">
        <f aca="false">133.7/95*Notas!$B$3</f>
        <v>133.7</v>
      </c>
    </row>
    <row r="734" customFormat="false" ht="15" hidden="false" customHeight="false" outlineLevel="0" collapsed="false">
      <c r="A734" s="13" t="s">
        <v>244</v>
      </c>
      <c r="B734" s="13" t="n">
        <v>40</v>
      </c>
      <c r="C734" s="17" t="n">
        <f aca="false">B734/100*Notas!$B$3</f>
        <v>38</v>
      </c>
      <c r="D734" s="17" t="n">
        <f aca="false">41.12/95*Notas!$B$3</f>
        <v>41.12</v>
      </c>
      <c r="E734" s="17" t="n">
        <f aca="false">18.71/95*Notas!$B$3</f>
        <v>18.71</v>
      </c>
      <c r="F734" s="13" t="n">
        <v>3</v>
      </c>
      <c r="G734" s="17" t="n">
        <f aca="false">17.63/95*Notas!$B$3</f>
        <v>17.63</v>
      </c>
      <c r="H734" s="17" t="n">
        <f aca="false">18.71/95*Notas!$B$3</f>
        <v>18.71</v>
      </c>
      <c r="I734" s="17" t="n">
        <f aca="false">58.7/95*Notas!$B$3</f>
        <v>58.7</v>
      </c>
      <c r="J734" s="17" t="n">
        <f aca="false">122.51/95*Notas!$B$3</f>
        <v>122.51</v>
      </c>
    </row>
    <row r="735" customFormat="false" ht="15" hidden="false" customHeight="false" outlineLevel="0" collapsed="false">
      <c r="A735" s="13" t="s">
        <v>244</v>
      </c>
      <c r="B735" s="13" t="n">
        <v>41</v>
      </c>
      <c r="C735" s="17" t="n">
        <f aca="false">B735/100*Notas!$B$3</f>
        <v>38.95</v>
      </c>
      <c r="D735" s="17" t="n">
        <f aca="false">40.64/95*Notas!$B$3</f>
        <v>40.64</v>
      </c>
      <c r="E735" s="17" t="n">
        <f aca="false">18.34/95*Notas!$B$3</f>
        <v>18.34</v>
      </c>
      <c r="F735" s="13" t="n">
        <v>3</v>
      </c>
      <c r="G735" s="17" t="n">
        <f aca="false">17.51/95*Notas!$B$3</f>
        <v>17.51</v>
      </c>
      <c r="H735" s="17" t="n">
        <f aca="false">18.34/95*Notas!$B$3</f>
        <v>18.34</v>
      </c>
      <c r="I735" s="17" t="n">
        <f aca="false">56.82/95*Notas!$B$3</f>
        <v>56.82</v>
      </c>
      <c r="J735" s="17" t="n">
        <f aca="false">117.16/95*Notas!$B$3</f>
        <v>117.16</v>
      </c>
    </row>
    <row r="736" customFormat="false" ht="15" hidden="false" customHeight="false" outlineLevel="0" collapsed="false">
      <c r="A736" s="13" t="s">
        <v>244</v>
      </c>
      <c r="B736" s="13" t="n">
        <v>42</v>
      </c>
      <c r="C736" s="17" t="n">
        <f aca="false">B736/100*Notas!$B$3</f>
        <v>39.9</v>
      </c>
      <c r="D736" s="17" t="n">
        <f aca="false">37.86/95*Notas!$B$3</f>
        <v>37.86</v>
      </c>
      <c r="E736" s="17" t="n">
        <f aca="false">18.59/95*Notas!$B$3</f>
        <v>18.59</v>
      </c>
      <c r="F736" s="13" t="n">
        <v>3</v>
      </c>
      <c r="G736" s="17" t="n">
        <f aca="false">17.52/95*Notas!$B$3</f>
        <v>17.52</v>
      </c>
      <c r="H736" s="17" t="n">
        <f aca="false">18.59/95*Notas!$B$3</f>
        <v>18.59</v>
      </c>
      <c r="I736" s="17" t="n">
        <f aca="false">57.32/95*Notas!$B$3</f>
        <v>57.32</v>
      </c>
      <c r="J736" s="17" t="n">
        <f aca="false">111.6/95*Notas!$B$3</f>
        <v>111.6</v>
      </c>
    </row>
    <row r="737" customFormat="false" ht="15" hidden="false" customHeight="false" outlineLevel="0" collapsed="false">
      <c r="A737" s="13" t="s">
        <v>244</v>
      </c>
      <c r="B737" s="13" t="n">
        <v>43</v>
      </c>
      <c r="C737" s="17" t="n">
        <f aca="false">B737/100*Notas!$B$3</f>
        <v>40.85</v>
      </c>
      <c r="D737" s="17" t="n">
        <f aca="false">35.37/95*Notas!$B$3</f>
        <v>35.37</v>
      </c>
      <c r="E737" s="17" t="n">
        <f aca="false">18.85/95*Notas!$B$3</f>
        <v>18.85</v>
      </c>
      <c r="F737" s="13" t="n">
        <v>3</v>
      </c>
      <c r="G737" s="17" t="n">
        <f aca="false">17.54/95*Notas!$B$3</f>
        <v>17.54</v>
      </c>
      <c r="H737" s="17" t="n">
        <f aca="false">18.85/95*Notas!$B$3</f>
        <v>18.85</v>
      </c>
      <c r="I737" s="17" t="n">
        <f aca="false">57.91/95*Notas!$B$3</f>
        <v>57.91</v>
      </c>
      <c r="J737" s="17" t="n">
        <f aca="false">108.17/95*Notas!$B$3</f>
        <v>108.17</v>
      </c>
    </row>
    <row r="738" customFormat="false" ht="15" hidden="false" customHeight="false" outlineLevel="0" collapsed="false">
      <c r="A738" s="13" t="s">
        <v>244</v>
      </c>
      <c r="B738" s="13" t="n">
        <v>44</v>
      </c>
      <c r="C738" s="17" t="n">
        <f aca="false">B738/100*Notas!$B$3</f>
        <v>41.8</v>
      </c>
      <c r="D738" s="17" t="n">
        <f aca="false">33.93/95*Notas!$B$3</f>
        <v>33.93</v>
      </c>
      <c r="E738" s="17" t="n">
        <f aca="false">18.98/95*Notas!$B$3</f>
        <v>18.98</v>
      </c>
      <c r="F738" s="13" t="n">
        <v>3</v>
      </c>
      <c r="G738" s="17" t="n">
        <f aca="false">17.65/95*Notas!$B$3</f>
        <v>17.65</v>
      </c>
      <c r="H738" s="17" t="n">
        <f aca="false">18.98/95*Notas!$B$3</f>
        <v>18.98</v>
      </c>
      <c r="I738" s="17" t="n">
        <f aca="false">58.57/95*Notas!$B$3</f>
        <v>58.57</v>
      </c>
      <c r="J738" s="17" t="n">
        <f aca="false">109.19/95*Notas!$B$3</f>
        <v>109.19</v>
      </c>
    </row>
    <row r="739" customFormat="false" ht="15" hidden="false" customHeight="false" outlineLevel="0" collapsed="false">
      <c r="A739" s="13" t="s">
        <v>244</v>
      </c>
      <c r="B739" s="13" t="n">
        <v>45</v>
      </c>
      <c r="C739" s="17" t="n">
        <f aca="false">B739/100*Notas!$B$3</f>
        <v>42.75</v>
      </c>
      <c r="D739" s="17" t="n">
        <f aca="false">33.12/95*Notas!$B$3</f>
        <v>33.12</v>
      </c>
      <c r="E739" s="17" t="n">
        <f aca="false">19.06/95*Notas!$B$3</f>
        <v>19.06</v>
      </c>
      <c r="F739" s="13" t="n">
        <v>2</v>
      </c>
      <c r="G739" s="17" t="n">
        <f aca="false">24.97/95*Notas!$B$3</f>
        <v>24.97</v>
      </c>
      <c r="H739" s="17" t="n">
        <f aca="false">19.06/95*Notas!$B$3</f>
        <v>19.06</v>
      </c>
      <c r="I739" s="17" t="n">
        <f aca="false">81.91/95*Notas!$B$3</f>
        <v>81.91</v>
      </c>
      <c r="J739" s="17" t="n">
        <f aca="false">107.76/95*Notas!$B$3</f>
        <v>107.76</v>
      </c>
    </row>
    <row r="740" customFormat="false" ht="15" hidden="false" customHeight="false" outlineLevel="0" collapsed="false">
      <c r="A740" s="13" t="s">
        <v>244</v>
      </c>
      <c r="B740" s="13" t="n">
        <v>46</v>
      </c>
      <c r="C740" s="17" t="n">
        <f aca="false">B740/100*Notas!$B$3</f>
        <v>43.7</v>
      </c>
      <c r="D740" s="17" t="n">
        <f aca="false">33.34/95*Notas!$B$3</f>
        <v>33.34</v>
      </c>
      <c r="E740" s="17" t="n">
        <f aca="false">19.11/95*Notas!$B$3</f>
        <v>19.11</v>
      </c>
      <c r="F740" s="13" t="n">
        <v>1</v>
      </c>
      <c r="G740" s="17" t="n">
        <f aca="false">33.34/95*Notas!$B$3</f>
        <v>33.34</v>
      </c>
      <c r="H740" s="17" t="n">
        <f aca="false">19.11/95*Notas!$B$3</f>
        <v>19.11</v>
      </c>
      <c r="I740" s="17" t="n">
        <f aca="false">96.8/95*Notas!$B$3</f>
        <v>96.8</v>
      </c>
      <c r="J740" s="17" t="n">
        <f aca="false">96.8/95*Notas!$B$3</f>
        <v>96.8</v>
      </c>
    </row>
    <row r="741" customFormat="false" ht="15" hidden="false" customHeight="false" outlineLevel="0" collapsed="false">
      <c r="A741" s="13" t="s">
        <v>244</v>
      </c>
      <c r="B741" s="13" t="n">
        <v>47</v>
      </c>
      <c r="C741" s="17" t="n">
        <f aca="false">B741/100*Notas!$B$3</f>
        <v>44.65</v>
      </c>
      <c r="D741" s="17" t="n">
        <f aca="false">32.57/95*Notas!$B$3</f>
        <v>32.57</v>
      </c>
      <c r="E741" s="17" t="n">
        <f aca="false">19.14/95*Notas!$B$3</f>
        <v>19.14</v>
      </c>
      <c r="F741" s="13" t="n">
        <v>1</v>
      </c>
      <c r="G741" s="17" t="n">
        <f aca="false">32.57/95*Notas!$B$3</f>
        <v>32.57</v>
      </c>
      <c r="H741" s="17" t="n">
        <f aca="false">19.14/95*Notas!$B$3</f>
        <v>19.14</v>
      </c>
      <c r="I741" s="17" t="n">
        <f aca="false">92.38/95*Notas!$B$3</f>
        <v>92.38</v>
      </c>
      <c r="J741" s="17" t="n">
        <f aca="false">92.38/95*Notas!$B$3</f>
        <v>92.38</v>
      </c>
    </row>
    <row r="742" customFormat="false" ht="15" hidden="false" customHeight="false" outlineLevel="0" collapsed="false">
      <c r="A742" s="13" t="s">
        <v>244</v>
      </c>
      <c r="B742" s="13" t="n">
        <v>48</v>
      </c>
      <c r="C742" s="17" t="n">
        <f aca="false">B742/100*Notas!$B$3</f>
        <v>45.6</v>
      </c>
      <c r="D742" s="17" t="n">
        <f aca="false">31.82/95*Notas!$B$3</f>
        <v>31.82</v>
      </c>
      <c r="E742" s="17" t="n">
        <f aca="false">19.09/95*Notas!$B$3</f>
        <v>19.09</v>
      </c>
      <c r="F742" s="13" t="n">
        <v>1</v>
      </c>
      <c r="G742" s="17" t="n">
        <f aca="false">31.82/95*Notas!$B$3</f>
        <v>31.82</v>
      </c>
      <c r="H742" s="17" t="n">
        <f aca="false">19.09/95*Notas!$B$3</f>
        <v>19.09</v>
      </c>
      <c r="I742" s="17" t="n">
        <f aca="false">91.21/95*Notas!$B$3</f>
        <v>91.21</v>
      </c>
      <c r="J742" s="17" t="n">
        <f aca="false">91.21/95*Notas!$B$3</f>
        <v>91.21</v>
      </c>
    </row>
    <row r="743" customFormat="false" ht="15" hidden="false" customHeight="false" outlineLevel="0" collapsed="false">
      <c r="A743" s="13" t="s">
        <v>244</v>
      </c>
      <c r="B743" s="13" t="n">
        <v>49</v>
      </c>
      <c r="C743" s="17" t="n">
        <f aca="false">B743/100*Notas!$B$3</f>
        <v>46.55</v>
      </c>
      <c r="D743" s="17" t="n">
        <f aca="false">31.14/95*Notas!$B$3</f>
        <v>31.14</v>
      </c>
      <c r="E743" s="17" t="n">
        <f aca="false">18.63/95*Notas!$B$3</f>
        <v>18.63</v>
      </c>
      <c r="F743" s="13" t="n">
        <v>1</v>
      </c>
      <c r="G743" s="17" t="n">
        <f aca="false">31.14/95*Notas!$B$3</f>
        <v>31.14</v>
      </c>
      <c r="H743" s="17" t="n">
        <f aca="false">18.63/95*Notas!$B$3</f>
        <v>18.63</v>
      </c>
      <c r="I743" s="17" t="n">
        <f aca="false">90.39/95*Notas!$B$3</f>
        <v>90.39</v>
      </c>
      <c r="J743" s="17" t="n">
        <f aca="false">90.39/95*Notas!$B$3</f>
        <v>90.39</v>
      </c>
    </row>
    <row r="744" customFormat="false" ht="15" hidden="false" customHeight="false" outlineLevel="0" collapsed="false">
      <c r="A744" s="13" t="s">
        <v>244</v>
      </c>
      <c r="B744" s="13" t="n">
        <v>50</v>
      </c>
      <c r="C744" s="17" t="n">
        <f aca="false">B744/100*Notas!$B$3</f>
        <v>47.5</v>
      </c>
      <c r="D744" s="17" t="n">
        <f aca="false">30.43/95*Notas!$B$3</f>
        <v>30.43</v>
      </c>
      <c r="E744" s="17" t="n">
        <f aca="false">18.1/95*Notas!$B$3</f>
        <v>18.1</v>
      </c>
      <c r="F744" s="13" t="n">
        <v>1</v>
      </c>
      <c r="G744" s="17" t="n">
        <f aca="false">30.43/95*Notas!$B$3</f>
        <v>30.43</v>
      </c>
      <c r="H744" s="17" t="n">
        <f aca="false">18.1/95*Notas!$B$3</f>
        <v>18.1</v>
      </c>
      <c r="I744" s="17" t="n">
        <f aca="false">88.32/95*Notas!$B$3</f>
        <v>88.32</v>
      </c>
      <c r="J744" s="17" t="n">
        <f aca="false">88.32/95*Notas!$B$3</f>
        <v>88.32</v>
      </c>
    </row>
    <row r="745" customFormat="false" ht="15" hidden="false" customHeight="false" outlineLevel="0" collapsed="false">
      <c r="A745" s="13" t="s">
        <v>244</v>
      </c>
      <c r="B745" s="13" t="n">
        <v>51</v>
      </c>
      <c r="C745" s="17" t="n">
        <f aca="false">B745/100*Notas!$B$3</f>
        <v>48.45</v>
      </c>
      <c r="D745" s="17" t="n">
        <f aca="false">29.67/95*Notas!$B$3</f>
        <v>29.67</v>
      </c>
      <c r="E745" s="17" t="n">
        <f aca="false">17.35/95*Notas!$B$3</f>
        <v>17.35</v>
      </c>
      <c r="F745" s="13" t="n">
        <v>1</v>
      </c>
      <c r="G745" s="17" t="n">
        <f aca="false">29.67/95*Notas!$B$3</f>
        <v>29.67</v>
      </c>
      <c r="H745" s="17" t="n">
        <f aca="false">17.35/95*Notas!$B$3</f>
        <v>17.35</v>
      </c>
      <c r="I745" s="17" t="n">
        <f aca="false">85.92/95*Notas!$B$3</f>
        <v>85.92</v>
      </c>
      <c r="J745" s="17" t="n">
        <f aca="false">85.92/95*Notas!$B$3</f>
        <v>85.92</v>
      </c>
    </row>
    <row r="746" customFormat="false" ht="15" hidden="false" customHeight="false" outlineLevel="0" collapsed="false">
      <c r="A746" s="13" t="s">
        <v>244</v>
      </c>
      <c r="B746" s="13" t="n">
        <v>52</v>
      </c>
      <c r="C746" s="17" t="n">
        <f aca="false">B746/100*Notas!$B$3</f>
        <v>49.4</v>
      </c>
      <c r="D746" s="17" t="n">
        <f aca="false">28.65/95*Notas!$B$3</f>
        <v>28.65</v>
      </c>
      <c r="E746" s="17" t="n">
        <f aca="false">15.94/95*Notas!$B$3</f>
        <v>15.94</v>
      </c>
      <c r="F746" s="13" t="n">
        <v>1</v>
      </c>
      <c r="G746" s="17" t="n">
        <f aca="false">28.65/95*Notas!$B$3</f>
        <v>28.65</v>
      </c>
      <c r="H746" s="17" t="n">
        <f aca="false">15.94/95*Notas!$B$3</f>
        <v>15.94</v>
      </c>
      <c r="I746" s="17" t="n">
        <f aca="false">81.45/95*Notas!$B$3</f>
        <v>81.45</v>
      </c>
      <c r="J746" s="17" t="n">
        <f aca="false">81.45/95*Notas!$B$3</f>
        <v>81.45</v>
      </c>
    </row>
    <row r="747" customFormat="false" ht="15" hidden="false" customHeight="false" outlineLevel="0" collapsed="false">
      <c r="A747" s="13" t="s">
        <v>244</v>
      </c>
      <c r="B747" s="13" t="n">
        <v>53</v>
      </c>
      <c r="C747" s="17" t="n">
        <f aca="false">B747/100*Notas!$B$3</f>
        <v>50.35</v>
      </c>
      <c r="D747" s="17" t="n">
        <f aca="false">27.27/95*Notas!$B$3</f>
        <v>27.27</v>
      </c>
      <c r="E747" s="17" t="n">
        <f aca="false">14.5/95*Notas!$B$3</f>
        <v>14.5</v>
      </c>
      <c r="F747" s="13" t="n">
        <v>1</v>
      </c>
      <c r="G747" s="17" t="n">
        <f aca="false">27.27/95*Notas!$B$3</f>
        <v>27.27</v>
      </c>
      <c r="H747" s="17" t="n">
        <f aca="false">14.5/95*Notas!$B$3</f>
        <v>14.5</v>
      </c>
      <c r="I747" s="17" t="n">
        <f aca="false">77.21/95*Notas!$B$3</f>
        <v>77.21</v>
      </c>
      <c r="J747" s="17" t="n">
        <f aca="false">77.21/95*Notas!$B$3</f>
        <v>77.21</v>
      </c>
    </row>
    <row r="748" customFormat="false" ht="15" hidden="false" customHeight="false" outlineLevel="0" collapsed="false">
      <c r="A748" s="13" t="s">
        <v>244</v>
      </c>
      <c r="B748" s="13" t="n">
        <v>54</v>
      </c>
      <c r="C748" s="17" t="n">
        <f aca="false">B748/100*Notas!$B$3</f>
        <v>51.3</v>
      </c>
      <c r="D748" s="17" t="n">
        <f aca="false">22.67/95*Notas!$B$3</f>
        <v>22.67</v>
      </c>
      <c r="E748" s="17" t="n">
        <f aca="false">12.89/95*Notas!$B$3</f>
        <v>12.89</v>
      </c>
      <c r="F748" s="13" t="n">
        <v>3</v>
      </c>
      <c r="G748" s="17" t="n">
        <f aca="false">17.59/95*Notas!$B$3</f>
        <v>17.59</v>
      </c>
      <c r="H748" s="17" t="n">
        <f aca="false">12.89/95*Notas!$B$3</f>
        <v>12.89</v>
      </c>
      <c r="I748" s="17" t="n">
        <f aca="false">56.36/95*Notas!$B$3</f>
        <v>56.36</v>
      </c>
      <c r="J748" s="17" t="n">
        <f aca="false">65.5/95*Notas!$B$3</f>
        <v>65.5</v>
      </c>
    </row>
    <row r="749" customFormat="false" ht="15" hidden="false" customHeight="false" outlineLevel="0" collapsed="false">
      <c r="A749" s="13" t="s">
        <v>244</v>
      </c>
      <c r="B749" s="13" t="n">
        <v>55</v>
      </c>
      <c r="C749" s="17" t="n">
        <f aca="false">B749/100*Notas!$B$3</f>
        <v>52.25</v>
      </c>
      <c r="D749" s="17" t="n">
        <f aca="false">16.41/95*Notas!$B$3</f>
        <v>16.41</v>
      </c>
      <c r="E749" s="17" t="n">
        <f aca="false">16.35/95*Notas!$B$3</f>
        <v>16.35</v>
      </c>
      <c r="F749" s="13" t="n">
        <v>3</v>
      </c>
      <c r="G749" s="17" t="n">
        <f aca="false">16.41/95*Notas!$B$3</f>
        <v>16.41</v>
      </c>
      <c r="H749" s="17" t="n">
        <f aca="false">11.43/95*Notas!$B$3</f>
        <v>11.43</v>
      </c>
      <c r="I749" s="17" t="n">
        <f aca="false">50.34/95*Notas!$B$3</f>
        <v>50.34</v>
      </c>
      <c r="J749" s="17" t="n">
        <f aca="false">69.76/95*Notas!$B$3</f>
        <v>69.76</v>
      </c>
    </row>
    <row r="750" customFormat="false" ht="15" hidden="false" customHeight="false" outlineLevel="0" collapsed="false">
      <c r="A750" s="13" t="s">
        <v>244</v>
      </c>
      <c r="B750" s="13" t="n">
        <v>56</v>
      </c>
      <c r="C750" s="17" t="n">
        <f aca="false">B750/100*Notas!$B$3</f>
        <v>53.2</v>
      </c>
      <c r="D750" s="17" t="n">
        <f aca="false">14.85/95*Notas!$B$3</f>
        <v>14.85</v>
      </c>
      <c r="E750" s="17" t="n">
        <f aca="false">16.84/95*Notas!$B$3</f>
        <v>16.84</v>
      </c>
      <c r="F750" s="13" t="n">
        <v>4</v>
      </c>
      <c r="G750" s="17" t="n">
        <f aca="false">14.07/95*Notas!$B$3</f>
        <v>14.07</v>
      </c>
      <c r="H750" s="17" t="n">
        <f aca="false">10.71/95*Notas!$B$3</f>
        <v>10.71</v>
      </c>
      <c r="I750" s="17" t="n">
        <f aca="false">40.93/95*Notas!$B$3</f>
        <v>40.93</v>
      </c>
      <c r="J750" s="17" t="n">
        <f aca="false">80.15/95*Notas!$B$3</f>
        <v>80.15</v>
      </c>
    </row>
    <row r="751" customFormat="false" ht="15" hidden="false" customHeight="false" outlineLevel="0" collapsed="false">
      <c r="A751" s="13" t="s">
        <v>244</v>
      </c>
      <c r="B751" s="13" t="n">
        <v>57</v>
      </c>
      <c r="C751" s="17" t="n">
        <f aca="false">B751/100*Notas!$B$3</f>
        <v>54.15</v>
      </c>
      <c r="D751" s="17" t="n">
        <f aca="false">24.49/95*Notas!$B$3</f>
        <v>24.49</v>
      </c>
      <c r="E751" s="17" t="n">
        <f aca="false">25.42/95*Notas!$B$3</f>
        <v>25.42</v>
      </c>
      <c r="F751" s="13" t="n">
        <v>4</v>
      </c>
      <c r="G751" s="17" t="n">
        <f aca="false">16.99/95*Notas!$B$3</f>
        <v>16.99</v>
      </c>
      <c r="H751" s="17" t="n">
        <f aca="false">23.24/95*Notas!$B$3</f>
        <v>23.24</v>
      </c>
      <c r="I751" s="17" t="n">
        <f aca="false">94.53/95*Notas!$B$3</f>
        <v>94.53</v>
      </c>
      <c r="J751" s="17" t="n">
        <f aca="false">107.3/95*Notas!$B$3</f>
        <v>107.3</v>
      </c>
    </row>
    <row r="752" customFormat="false" ht="15" hidden="false" customHeight="false" outlineLevel="0" collapsed="false">
      <c r="A752" s="13" t="s">
        <v>244</v>
      </c>
      <c r="B752" s="13" t="n">
        <v>58</v>
      </c>
      <c r="C752" s="17" t="n">
        <f aca="false">B752/100*Notas!$B$3</f>
        <v>55.1</v>
      </c>
      <c r="D752" s="17" t="n">
        <f aca="false">26.95/95*Notas!$B$3</f>
        <v>26.95</v>
      </c>
      <c r="E752" s="17" t="n">
        <f aca="false">26.83/95*Notas!$B$3</f>
        <v>26.83</v>
      </c>
      <c r="F752" s="13" t="n">
        <v>3</v>
      </c>
      <c r="G752" s="17" t="n">
        <f aca="false">26.12/95*Notas!$B$3</f>
        <v>26.12</v>
      </c>
      <c r="H752" s="17" t="n">
        <f aca="false">24.76/95*Notas!$B$3</f>
        <v>24.76</v>
      </c>
      <c r="I752" s="17" t="n">
        <f aca="false">102.84/95*Notas!$B$3</f>
        <v>102.84</v>
      </c>
      <c r="J752" s="17" t="n">
        <f aca="false">120.91/95*Notas!$B$3</f>
        <v>120.91</v>
      </c>
    </row>
    <row r="753" customFormat="false" ht="15" hidden="false" customHeight="false" outlineLevel="0" collapsed="false">
      <c r="A753" s="13" t="s">
        <v>244</v>
      </c>
      <c r="B753" s="13" t="n">
        <v>59</v>
      </c>
      <c r="C753" s="17" t="n">
        <f aca="false">B753/100*Notas!$B$3</f>
        <v>56.05</v>
      </c>
      <c r="D753" s="17" t="n">
        <f aca="false">30.58/95*Notas!$B$3</f>
        <v>30.58</v>
      </c>
      <c r="E753" s="17" t="n">
        <f aca="false">27.83/95*Notas!$B$3</f>
        <v>27.83</v>
      </c>
      <c r="F753" s="13" t="n">
        <v>3</v>
      </c>
      <c r="G753" s="17" t="n">
        <f aca="false">28.49/95*Notas!$B$3</f>
        <v>28.49</v>
      </c>
      <c r="H753" s="17" t="n">
        <f aca="false">25.64/95*Notas!$B$3</f>
        <v>25.64</v>
      </c>
      <c r="I753" s="17" t="n">
        <f aca="false">114.23/95*Notas!$B$3</f>
        <v>114.23</v>
      </c>
      <c r="J753" s="17" t="n">
        <f aca="false">123.68/95*Notas!$B$3</f>
        <v>123.68</v>
      </c>
    </row>
    <row r="754" customFormat="false" ht="15" hidden="false" customHeight="false" outlineLevel="0" collapsed="false">
      <c r="A754" s="13" t="s">
        <v>244</v>
      </c>
      <c r="B754" s="13" t="n">
        <v>60</v>
      </c>
      <c r="C754" s="17" t="n">
        <f aca="false">B754/100*Notas!$B$3</f>
        <v>57</v>
      </c>
      <c r="D754" s="17" t="n">
        <f aca="false">33.98/95*Notas!$B$3</f>
        <v>33.98</v>
      </c>
      <c r="E754" s="17" t="n">
        <f aca="false">28.66/95*Notas!$B$3</f>
        <v>28.66</v>
      </c>
      <c r="F754" s="13" t="n">
        <v>4</v>
      </c>
      <c r="G754" s="17" t="n">
        <f aca="false">29.32/95*Notas!$B$3</f>
        <v>29.32</v>
      </c>
      <c r="H754" s="17" t="n">
        <f aca="false">26.3/95*Notas!$B$3</f>
        <v>26.3</v>
      </c>
      <c r="I754" s="17" t="n">
        <f aca="false">102.7/95*Notas!$B$3</f>
        <v>102.7</v>
      </c>
      <c r="J754" s="17" t="n">
        <f aca="false">117.39/95*Notas!$B$3</f>
        <v>117.39</v>
      </c>
    </row>
    <row r="755" customFormat="false" ht="15" hidden="false" customHeight="false" outlineLevel="0" collapsed="false">
      <c r="A755" s="13" t="s">
        <v>244</v>
      </c>
      <c r="B755" s="13" t="n">
        <v>61</v>
      </c>
      <c r="C755" s="17" t="n">
        <f aca="false">B755/100*Notas!$B$3</f>
        <v>57.95</v>
      </c>
      <c r="D755" s="17" t="n">
        <f aca="false">40.93/95*Notas!$B$3</f>
        <v>40.93</v>
      </c>
      <c r="E755" s="17" t="n">
        <f aca="false">29.47/95*Notas!$B$3</f>
        <v>29.47</v>
      </c>
      <c r="F755" s="13" t="n">
        <v>3</v>
      </c>
      <c r="G755" s="17" t="n">
        <f aca="false">40.93/95*Notas!$B$3</f>
        <v>40.93</v>
      </c>
      <c r="H755" s="17" t="n">
        <f aca="false">26.96/95*Notas!$B$3</f>
        <v>26.96</v>
      </c>
      <c r="I755" s="17" t="n">
        <f aca="false">123.98/95*Notas!$B$3</f>
        <v>123.98</v>
      </c>
      <c r="J755" s="17" t="n">
        <f aca="false">140.67/95*Notas!$B$3</f>
        <v>140.67</v>
      </c>
    </row>
    <row r="756" customFormat="false" ht="15" hidden="false" customHeight="false" outlineLevel="0" collapsed="false">
      <c r="A756" s="13" t="s">
        <v>244</v>
      </c>
      <c r="B756" s="13" t="n">
        <v>62</v>
      </c>
      <c r="C756" s="17" t="n">
        <f aca="false">B756/100*Notas!$B$3</f>
        <v>58.9</v>
      </c>
      <c r="D756" s="17" t="n">
        <f aca="false">42.3/95*Notas!$B$3</f>
        <v>42.3</v>
      </c>
      <c r="E756" s="17" t="n">
        <f aca="false">29.94/95*Notas!$B$3</f>
        <v>29.94</v>
      </c>
      <c r="F756" s="13" t="n">
        <v>3</v>
      </c>
      <c r="G756" s="17" t="n">
        <f aca="false">42.3/95*Notas!$B$3</f>
        <v>42.3</v>
      </c>
      <c r="H756" s="17" t="n">
        <f aca="false">27.34/95*Notas!$B$3</f>
        <v>27.34</v>
      </c>
      <c r="I756" s="17" t="n">
        <f aca="false">122.44/95*Notas!$B$3</f>
        <v>122.44</v>
      </c>
      <c r="J756" s="17" t="n">
        <f aca="false">142.07/95*Notas!$B$3</f>
        <v>142.07</v>
      </c>
    </row>
    <row r="757" customFormat="false" ht="15" hidden="false" customHeight="false" outlineLevel="0" collapsed="false">
      <c r="A757" s="13" t="s">
        <v>244</v>
      </c>
      <c r="B757" s="13" t="n">
        <v>63</v>
      </c>
      <c r="C757" s="17" t="n">
        <f aca="false">B757/100*Notas!$B$3</f>
        <v>59.85</v>
      </c>
      <c r="D757" s="17" t="n">
        <f aca="false">42.83/95*Notas!$B$3</f>
        <v>42.83</v>
      </c>
      <c r="E757" s="17" t="n">
        <f aca="false">30.26/95*Notas!$B$3</f>
        <v>30.26</v>
      </c>
      <c r="F757" s="13" t="n">
        <v>3</v>
      </c>
      <c r="G757" s="17" t="n">
        <f aca="false">42.83/95*Notas!$B$3</f>
        <v>42.83</v>
      </c>
      <c r="H757" s="17" t="n">
        <f aca="false">27.47/95*Notas!$B$3</f>
        <v>27.47</v>
      </c>
      <c r="I757" s="17" t="n">
        <f aca="false">131.46/95*Notas!$B$3</f>
        <v>131.46</v>
      </c>
      <c r="J757" s="17" t="n">
        <f aca="false">154.01/95*Notas!$B$3</f>
        <v>154.01</v>
      </c>
    </row>
    <row r="758" customFormat="false" ht="15" hidden="false" customHeight="false" outlineLevel="0" collapsed="false">
      <c r="A758" s="13" t="s">
        <v>244</v>
      </c>
      <c r="B758" s="13" t="n">
        <v>64</v>
      </c>
      <c r="C758" s="17" t="n">
        <f aca="false">B758/100*Notas!$B$3</f>
        <v>60.8</v>
      </c>
      <c r="D758" s="17" t="n">
        <f aca="false">42.97/95*Notas!$B$3</f>
        <v>42.97</v>
      </c>
      <c r="E758" s="17" t="n">
        <f aca="false">30.5/95*Notas!$B$3</f>
        <v>30.5</v>
      </c>
      <c r="F758" s="13" t="n">
        <v>3</v>
      </c>
      <c r="G758" s="17" t="n">
        <f aca="false">42.97/95*Notas!$B$3</f>
        <v>42.97</v>
      </c>
      <c r="H758" s="17" t="n">
        <f aca="false">27.5/95*Notas!$B$3</f>
        <v>27.5</v>
      </c>
      <c r="I758" s="17" t="n">
        <f aca="false">128.78/95*Notas!$B$3</f>
        <v>128.78</v>
      </c>
      <c r="J758" s="17" t="n">
        <f aca="false">154.08/95*Notas!$B$3</f>
        <v>154.08</v>
      </c>
    </row>
    <row r="759" customFormat="false" ht="15" hidden="false" customHeight="false" outlineLevel="0" collapsed="false">
      <c r="A759" s="13" t="s">
        <v>244</v>
      </c>
      <c r="B759" s="13" t="n">
        <v>65</v>
      </c>
      <c r="C759" s="17" t="n">
        <f aca="false">B759/100*Notas!$B$3</f>
        <v>61.75</v>
      </c>
      <c r="D759" s="17" t="n">
        <f aca="false">43.02/95*Notas!$B$3</f>
        <v>43.02</v>
      </c>
      <c r="E759" s="17" t="n">
        <f aca="false">30.72/95*Notas!$B$3</f>
        <v>30.72</v>
      </c>
      <c r="F759" s="13" t="n">
        <v>3</v>
      </c>
      <c r="G759" s="17" t="n">
        <f aca="false">43.02/95*Notas!$B$3</f>
        <v>43.02</v>
      </c>
      <c r="H759" s="17" t="n">
        <f aca="false">30.2/95*Notas!$B$3</f>
        <v>30.2</v>
      </c>
      <c r="I759" s="17" t="n">
        <f aca="false">134.91/95*Notas!$B$3</f>
        <v>134.91</v>
      </c>
      <c r="J759" s="17" t="n">
        <f aca="false">162.7/95*Notas!$B$3</f>
        <v>162.7</v>
      </c>
    </row>
    <row r="760" customFormat="false" ht="15" hidden="false" customHeight="false" outlineLevel="0" collapsed="false">
      <c r="A760" s="13" t="s">
        <v>244</v>
      </c>
      <c r="B760" s="13" t="n">
        <v>66</v>
      </c>
      <c r="C760" s="17" t="n">
        <f aca="false">B760/100*Notas!$B$3</f>
        <v>62.7</v>
      </c>
      <c r="D760" s="17" t="n">
        <f aca="false">42.97/95*Notas!$B$3</f>
        <v>42.97</v>
      </c>
      <c r="E760" s="17" t="n">
        <f aca="false">30.97/95*Notas!$B$3</f>
        <v>30.97</v>
      </c>
      <c r="F760" s="13" t="n">
        <v>3</v>
      </c>
      <c r="G760" s="17" t="n">
        <f aca="false">42.97/95*Notas!$B$3</f>
        <v>42.97</v>
      </c>
      <c r="H760" s="17" t="n">
        <f aca="false">30.77/95*Notas!$B$3</f>
        <v>30.77</v>
      </c>
      <c r="I760" s="17" t="n">
        <f aca="false">135.29/95*Notas!$B$3</f>
        <v>135.29</v>
      </c>
      <c r="J760" s="17" t="n">
        <f aca="false">165.38/95*Notas!$B$3</f>
        <v>165.38</v>
      </c>
    </row>
    <row r="761" customFormat="false" ht="15" hidden="false" customHeight="false" outlineLevel="0" collapsed="false">
      <c r="A761" s="13" t="s">
        <v>244</v>
      </c>
      <c r="B761" s="13" t="n">
        <v>67</v>
      </c>
      <c r="C761" s="17" t="n">
        <f aca="false">B761/100*Notas!$B$3</f>
        <v>63.65</v>
      </c>
      <c r="D761" s="17" t="n">
        <f aca="false">42.61/95*Notas!$B$3</f>
        <v>42.61</v>
      </c>
      <c r="E761" s="17" t="n">
        <f aca="false">31.28/95*Notas!$B$3</f>
        <v>31.28</v>
      </c>
      <c r="F761" s="13" t="n">
        <v>3</v>
      </c>
      <c r="G761" s="17" t="n">
        <f aca="false">42.61/95*Notas!$B$3</f>
        <v>42.61</v>
      </c>
      <c r="H761" s="17" t="n">
        <f aca="false">30.82/95*Notas!$B$3</f>
        <v>30.82</v>
      </c>
      <c r="I761" s="17" t="n">
        <f aca="false">140.68/95*Notas!$B$3</f>
        <v>140.68</v>
      </c>
      <c r="J761" s="17" t="n">
        <f aca="false">173/95*Notas!$B$3</f>
        <v>173</v>
      </c>
    </row>
    <row r="762" customFormat="false" ht="15" hidden="false" customHeight="false" outlineLevel="0" collapsed="false">
      <c r="A762" s="13" t="s">
        <v>244</v>
      </c>
      <c r="B762" s="13" t="n">
        <v>68</v>
      </c>
      <c r="C762" s="17" t="n">
        <f aca="false">B762/100*Notas!$B$3</f>
        <v>64.6</v>
      </c>
      <c r="D762" s="17" t="n">
        <f aca="false">41.6/95*Notas!$B$3</f>
        <v>41.6</v>
      </c>
      <c r="E762" s="17" t="n">
        <f aca="false">32.57/95*Notas!$B$3</f>
        <v>32.57</v>
      </c>
      <c r="F762" s="13" t="n">
        <v>3</v>
      </c>
      <c r="G762" s="17" t="n">
        <f aca="false">41.6/95*Notas!$B$3</f>
        <v>41.6</v>
      </c>
      <c r="H762" s="17" t="n">
        <f aca="false">31.72/95*Notas!$B$3</f>
        <v>31.72</v>
      </c>
      <c r="I762" s="17" t="n">
        <f aca="false">139.74/95*Notas!$B$3</f>
        <v>139.74</v>
      </c>
      <c r="J762" s="17" t="n">
        <f aca="false">174.22/95*Notas!$B$3</f>
        <v>174.22</v>
      </c>
    </row>
    <row r="763" customFormat="false" ht="15" hidden="false" customHeight="false" outlineLevel="0" collapsed="false">
      <c r="A763" s="13" t="s">
        <v>244</v>
      </c>
      <c r="B763" s="13" t="n">
        <v>69</v>
      </c>
      <c r="C763" s="17" t="n">
        <f aca="false">B763/100*Notas!$B$3</f>
        <v>65.55</v>
      </c>
      <c r="D763" s="17" t="n">
        <f aca="false">39.99/95*Notas!$B$3</f>
        <v>39.99</v>
      </c>
      <c r="E763" s="17" t="n">
        <f aca="false">33.83/95*Notas!$B$3</f>
        <v>33.83</v>
      </c>
      <c r="F763" s="13" t="n">
        <v>3</v>
      </c>
      <c r="G763" s="17" t="n">
        <f aca="false">39.23/95*Notas!$B$3</f>
        <v>39.23</v>
      </c>
      <c r="H763" s="17" t="n">
        <f aca="false">32.48/95*Notas!$B$3</f>
        <v>32.48</v>
      </c>
      <c r="I763" s="17" t="n">
        <f aca="false">135.34/95*Notas!$B$3</f>
        <v>135.34</v>
      </c>
      <c r="J763" s="17" t="n">
        <f aca="false">172.17/95*Notas!$B$3</f>
        <v>172.17</v>
      </c>
    </row>
    <row r="764" customFormat="false" ht="15" hidden="false" customHeight="false" outlineLevel="0" collapsed="false">
      <c r="A764" s="13" t="s">
        <v>244</v>
      </c>
      <c r="B764" s="13" t="n">
        <v>70</v>
      </c>
      <c r="C764" s="17" t="n">
        <f aca="false">B764/100*Notas!$B$3</f>
        <v>66.5</v>
      </c>
      <c r="D764" s="17" t="n">
        <f aca="false">39.17/95*Notas!$B$3</f>
        <v>39.17</v>
      </c>
      <c r="E764" s="17" t="n">
        <f aca="false">34.64/95*Notas!$B$3</f>
        <v>34.64</v>
      </c>
      <c r="F764" s="13" t="n">
        <v>2</v>
      </c>
      <c r="G764" s="17" t="n">
        <f aca="false">39.17/95*Notas!$B$3</f>
        <v>39.17</v>
      </c>
      <c r="H764" s="17" t="n">
        <f aca="false">34.64/95*Notas!$B$3</f>
        <v>34.64</v>
      </c>
      <c r="I764" s="17" t="n">
        <f aca="false">153.39/95*Notas!$B$3</f>
        <v>153.39</v>
      </c>
      <c r="J764" s="17" t="n">
        <f aca="false">169.64/95*Notas!$B$3</f>
        <v>169.64</v>
      </c>
    </row>
    <row r="765" customFormat="false" ht="15" hidden="false" customHeight="false" outlineLevel="0" collapsed="false">
      <c r="A765" s="13" t="s">
        <v>244</v>
      </c>
      <c r="B765" s="13" t="n">
        <v>71</v>
      </c>
      <c r="C765" s="17" t="n">
        <f aca="false">B765/100*Notas!$B$3</f>
        <v>67.45</v>
      </c>
      <c r="D765" s="17" t="n">
        <f aca="false">40.37/95*Notas!$B$3</f>
        <v>40.37</v>
      </c>
      <c r="E765" s="17" t="n">
        <f aca="false">35.13/95*Notas!$B$3</f>
        <v>35.13</v>
      </c>
      <c r="F765" s="13" t="n">
        <v>3</v>
      </c>
      <c r="G765" s="17" t="n">
        <f aca="false">40.37/95*Notas!$B$3</f>
        <v>40.37</v>
      </c>
      <c r="H765" s="17" t="n">
        <f aca="false">35.13/95*Notas!$B$3</f>
        <v>35.13</v>
      </c>
      <c r="I765" s="17" t="n">
        <f aca="false">150.73/95*Notas!$B$3</f>
        <v>150.73</v>
      </c>
      <c r="J765" s="17" t="n">
        <f aca="false">169.72/95*Notas!$B$3</f>
        <v>169.72</v>
      </c>
    </row>
    <row r="766" customFormat="false" ht="15" hidden="false" customHeight="false" outlineLevel="0" collapsed="false">
      <c r="A766" s="13" t="s">
        <v>244</v>
      </c>
      <c r="B766" s="13" t="n">
        <v>72</v>
      </c>
      <c r="C766" s="17" t="n">
        <f aca="false">B766/100*Notas!$B$3</f>
        <v>68.4</v>
      </c>
      <c r="D766" s="17" t="n">
        <f aca="false">41.78/95*Notas!$B$3</f>
        <v>41.78</v>
      </c>
      <c r="E766" s="17" t="n">
        <f aca="false">35.66/95*Notas!$B$3</f>
        <v>35.66</v>
      </c>
      <c r="F766" s="13" t="n">
        <v>2</v>
      </c>
      <c r="G766" s="17" t="n">
        <f aca="false">41.78/95*Notas!$B$3</f>
        <v>41.78</v>
      </c>
      <c r="H766" s="17" t="n">
        <f aca="false">35.52/95*Notas!$B$3</f>
        <v>35.52</v>
      </c>
      <c r="I766" s="17" t="n">
        <f aca="false">152.85/95*Notas!$B$3</f>
        <v>152.85</v>
      </c>
      <c r="J766" s="17" t="n">
        <f aca="false">170.69/95*Notas!$B$3</f>
        <v>170.69</v>
      </c>
    </row>
    <row r="767" customFormat="false" ht="15" hidden="false" customHeight="false" outlineLevel="0" collapsed="false">
      <c r="A767" s="13" t="s">
        <v>244</v>
      </c>
      <c r="B767" s="13" t="n">
        <v>73</v>
      </c>
      <c r="C767" s="17" t="n">
        <f aca="false">B767/100*Notas!$B$3</f>
        <v>69.35</v>
      </c>
      <c r="D767" s="17" t="n">
        <f aca="false">43.96/95*Notas!$B$3</f>
        <v>43.96</v>
      </c>
      <c r="E767" s="17" t="n">
        <f aca="false">36.17/95*Notas!$B$3</f>
        <v>36.17</v>
      </c>
      <c r="F767" s="13" t="n">
        <v>2</v>
      </c>
      <c r="G767" s="17" t="n">
        <f aca="false">43.96/95*Notas!$B$3</f>
        <v>43.96</v>
      </c>
      <c r="H767" s="17" t="n">
        <f aca="false">35.78/95*Notas!$B$3</f>
        <v>35.78</v>
      </c>
      <c r="I767" s="17" t="n">
        <f aca="false">158.3/95*Notas!$B$3</f>
        <v>158.3</v>
      </c>
      <c r="J767" s="17" t="n">
        <f aca="false">177.05/95*Notas!$B$3</f>
        <v>177.05</v>
      </c>
    </row>
    <row r="768" customFormat="false" ht="15" hidden="false" customHeight="false" outlineLevel="0" collapsed="false">
      <c r="A768" s="13" t="s">
        <v>244</v>
      </c>
      <c r="B768" s="13" t="n">
        <v>74</v>
      </c>
      <c r="C768" s="17" t="n">
        <f aca="false">B768/100*Notas!$B$3</f>
        <v>70.3</v>
      </c>
      <c r="D768" s="17" t="n">
        <f aca="false">44.72/95*Notas!$B$3</f>
        <v>44.72</v>
      </c>
      <c r="E768" s="17" t="n">
        <f aca="false">36.68/95*Notas!$B$3</f>
        <v>36.68</v>
      </c>
      <c r="F768" s="13" t="n">
        <v>2</v>
      </c>
      <c r="G768" s="17" t="n">
        <f aca="false">44.72/95*Notas!$B$3</f>
        <v>44.72</v>
      </c>
      <c r="H768" s="17" t="n">
        <f aca="false">35.91/95*Notas!$B$3</f>
        <v>35.91</v>
      </c>
      <c r="I768" s="17" t="n">
        <f aca="false">159.35/95*Notas!$B$3</f>
        <v>159.35</v>
      </c>
      <c r="J768" s="17" t="n">
        <f aca="false">179.05/95*Notas!$B$3</f>
        <v>179.05</v>
      </c>
    </row>
    <row r="769" customFormat="false" ht="15" hidden="false" customHeight="false" outlineLevel="0" collapsed="false">
      <c r="A769" s="13" t="s">
        <v>244</v>
      </c>
      <c r="B769" s="13" t="n">
        <v>75</v>
      </c>
      <c r="C769" s="17" t="n">
        <f aca="false">B769/100*Notas!$B$3</f>
        <v>71.25</v>
      </c>
      <c r="D769" s="17" t="n">
        <f aca="false">45.38/95*Notas!$B$3</f>
        <v>45.38</v>
      </c>
      <c r="E769" s="17" t="n">
        <f aca="false">37.16/95*Notas!$B$3</f>
        <v>37.16</v>
      </c>
      <c r="F769" s="13" t="n">
        <v>3</v>
      </c>
      <c r="G769" s="17" t="n">
        <f aca="false">45.38/95*Notas!$B$3</f>
        <v>45.38</v>
      </c>
      <c r="H769" s="17" t="n">
        <f aca="false">36.05/95*Notas!$B$3</f>
        <v>36.05</v>
      </c>
      <c r="I769" s="17" t="n">
        <f aca="false">159.19/95*Notas!$B$3</f>
        <v>159.19</v>
      </c>
      <c r="J769" s="17" t="n">
        <f aca="false">181.23/95*Notas!$B$3</f>
        <v>181.23</v>
      </c>
    </row>
    <row r="770" customFormat="false" ht="15" hidden="false" customHeight="false" outlineLevel="0" collapsed="false">
      <c r="A770" s="13" t="s">
        <v>244</v>
      </c>
      <c r="B770" s="13" t="n">
        <v>76</v>
      </c>
      <c r="C770" s="17" t="n">
        <f aca="false">B770/100*Notas!$B$3</f>
        <v>72.2</v>
      </c>
      <c r="D770" s="17" t="n">
        <f aca="false">45.98/95*Notas!$B$3</f>
        <v>45.98</v>
      </c>
      <c r="E770" s="17" t="n">
        <f aca="false">37.65/95*Notas!$B$3</f>
        <v>37.65</v>
      </c>
      <c r="F770" s="13" t="n">
        <v>3</v>
      </c>
      <c r="G770" s="17" t="n">
        <f aca="false">45.98/95*Notas!$B$3</f>
        <v>45.98</v>
      </c>
      <c r="H770" s="17" t="n">
        <f aca="false">36.16/95*Notas!$B$3</f>
        <v>36.16</v>
      </c>
      <c r="I770" s="17" t="n">
        <f aca="false">156.52/95*Notas!$B$3</f>
        <v>156.52</v>
      </c>
      <c r="J770" s="17" t="n">
        <f aca="false">184.12/95*Notas!$B$3</f>
        <v>184.12</v>
      </c>
    </row>
    <row r="771" customFormat="false" ht="15" hidden="false" customHeight="false" outlineLevel="0" collapsed="false">
      <c r="A771" s="13" t="s">
        <v>244</v>
      </c>
      <c r="B771" s="13" t="n">
        <v>77</v>
      </c>
      <c r="C771" s="17" t="n">
        <f aca="false">B771/100*Notas!$B$3</f>
        <v>73.15</v>
      </c>
      <c r="D771" s="17" t="n">
        <f aca="false">46.5/95*Notas!$B$3</f>
        <v>46.5</v>
      </c>
      <c r="E771" s="17" t="n">
        <f aca="false">37.98/95*Notas!$B$3</f>
        <v>37.98</v>
      </c>
      <c r="F771" s="13" t="n">
        <v>2</v>
      </c>
      <c r="G771" s="17" t="n">
        <f aca="false">46.5/95*Notas!$B$3</f>
        <v>46.5</v>
      </c>
      <c r="H771" s="17" t="n">
        <f aca="false">36.08/95*Notas!$B$3</f>
        <v>36.08</v>
      </c>
      <c r="I771" s="17" t="n">
        <f aca="false">163.41/95*Notas!$B$3</f>
        <v>163.41</v>
      </c>
      <c r="J771" s="17" t="n">
        <f aca="false">186.25/95*Notas!$B$3</f>
        <v>186.25</v>
      </c>
    </row>
    <row r="772" customFormat="false" ht="15" hidden="false" customHeight="false" outlineLevel="0" collapsed="false">
      <c r="A772" s="13" t="s">
        <v>244</v>
      </c>
      <c r="B772" s="13" t="n">
        <v>78</v>
      </c>
      <c r="C772" s="17" t="n">
        <f aca="false">B772/100*Notas!$B$3</f>
        <v>74.1</v>
      </c>
      <c r="D772" s="17" t="n">
        <f aca="false">46.98/95*Notas!$B$3</f>
        <v>46.98</v>
      </c>
      <c r="E772" s="17" t="n">
        <f aca="false">38.26/95*Notas!$B$3</f>
        <v>38.26</v>
      </c>
      <c r="F772" s="13" t="n">
        <v>2</v>
      </c>
      <c r="G772" s="17" t="n">
        <f aca="false">46.98/95*Notas!$B$3</f>
        <v>46.98</v>
      </c>
      <c r="H772" s="17" t="n">
        <f aca="false">38.26/95*Notas!$B$3</f>
        <v>38.26</v>
      </c>
      <c r="I772" s="17" t="n">
        <f aca="false">183.84/95*Notas!$B$3</f>
        <v>183.84</v>
      </c>
      <c r="J772" s="17" t="n">
        <f aca="false">189/95*Notas!$B$3</f>
        <v>189</v>
      </c>
    </row>
    <row r="773" customFormat="false" ht="15" hidden="false" customHeight="false" outlineLevel="0" collapsed="false">
      <c r="A773" s="13" t="s">
        <v>244</v>
      </c>
      <c r="B773" s="13" t="n">
        <v>79</v>
      </c>
      <c r="C773" s="17" t="n">
        <f aca="false">B773/100*Notas!$B$3</f>
        <v>75.05</v>
      </c>
      <c r="D773" s="17" t="n">
        <f aca="false">47.47/95*Notas!$B$3</f>
        <v>47.47</v>
      </c>
      <c r="E773" s="17" t="n">
        <f aca="false">38.54/95*Notas!$B$3</f>
        <v>38.54</v>
      </c>
      <c r="F773" s="13" t="n">
        <v>1</v>
      </c>
      <c r="G773" s="17" t="n">
        <f aca="false">47.47/95*Notas!$B$3</f>
        <v>47.47</v>
      </c>
      <c r="H773" s="17" t="n">
        <f aca="false">38.54/95*Notas!$B$3</f>
        <v>38.54</v>
      </c>
      <c r="I773" s="17" t="n">
        <f aca="false">180.65/95*Notas!$B$3</f>
        <v>180.65</v>
      </c>
      <c r="J773" s="17" t="n">
        <f aca="false">180.65/95*Notas!$B$3</f>
        <v>180.65</v>
      </c>
    </row>
    <row r="774" customFormat="false" ht="15" hidden="false" customHeight="false" outlineLevel="0" collapsed="false">
      <c r="A774" s="13" t="s">
        <v>244</v>
      </c>
      <c r="B774" s="13" t="n">
        <v>80</v>
      </c>
      <c r="C774" s="17" t="n">
        <f aca="false">B774/100*Notas!$B$3</f>
        <v>76</v>
      </c>
      <c r="D774" s="17" t="n">
        <f aca="false">47.98/95*Notas!$B$3</f>
        <v>47.98</v>
      </c>
      <c r="E774" s="17" t="n">
        <f aca="false">38.77/95*Notas!$B$3</f>
        <v>38.77</v>
      </c>
      <c r="F774" s="13" t="n">
        <v>1</v>
      </c>
      <c r="G774" s="17" t="n">
        <f aca="false">47.98/95*Notas!$B$3</f>
        <v>47.98</v>
      </c>
      <c r="H774" s="17" t="n">
        <f aca="false">38.77/95*Notas!$B$3</f>
        <v>38.77</v>
      </c>
      <c r="I774" s="17" t="n">
        <f aca="false">178.4/95*Notas!$B$3</f>
        <v>178.4</v>
      </c>
      <c r="J774" s="17" t="n">
        <f aca="false">178.4/95*Notas!$B$3</f>
        <v>178.4</v>
      </c>
    </row>
    <row r="775" customFormat="false" ht="15" hidden="false" customHeight="false" outlineLevel="0" collapsed="false">
      <c r="A775" s="13" t="s">
        <v>244</v>
      </c>
      <c r="B775" s="13" t="n">
        <v>81</v>
      </c>
      <c r="C775" s="17" t="n">
        <f aca="false">B775/100*Notas!$B$3</f>
        <v>76.95</v>
      </c>
      <c r="D775" s="17" t="n">
        <f aca="false">48.4/95*Notas!$B$3</f>
        <v>48.4</v>
      </c>
      <c r="E775" s="17" t="n">
        <f aca="false">38.49/95*Notas!$B$3</f>
        <v>38.49</v>
      </c>
      <c r="F775" s="13" t="n">
        <v>1</v>
      </c>
      <c r="G775" s="17" t="n">
        <f aca="false">48.4/95*Notas!$B$3</f>
        <v>48.4</v>
      </c>
      <c r="H775" s="17" t="n">
        <f aca="false">38.49/95*Notas!$B$3</f>
        <v>38.49</v>
      </c>
      <c r="I775" s="17" t="n">
        <f aca="false">178.1/95*Notas!$B$3</f>
        <v>178.1</v>
      </c>
      <c r="J775" s="17" t="n">
        <f aca="false">178.1/95*Notas!$B$3</f>
        <v>178.1</v>
      </c>
    </row>
    <row r="776" customFormat="false" ht="15" hidden="false" customHeight="false" outlineLevel="0" collapsed="false">
      <c r="A776" s="13" t="s">
        <v>244</v>
      </c>
      <c r="B776" s="13" t="n">
        <v>82</v>
      </c>
      <c r="C776" s="17" t="n">
        <f aca="false">B776/100*Notas!$B$3</f>
        <v>77.9</v>
      </c>
      <c r="D776" s="17" t="n">
        <f aca="false">48.77/95*Notas!$B$3</f>
        <v>48.77</v>
      </c>
      <c r="E776" s="17" t="n">
        <f aca="false">38.13/95*Notas!$B$3</f>
        <v>38.13</v>
      </c>
      <c r="F776" s="13" t="n">
        <v>1</v>
      </c>
      <c r="G776" s="17" t="n">
        <f aca="false">48.77/95*Notas!$B$3</f>
        <v>48.77</v>
      </c>
      <c r="H776" s="17" t="n">
        <f aca="false">38.13/95*Notas!$B$3</f>
        <v>38.13</v>
      </c>
      <c r="I776" s="17" t="n">
        <f aca="false">177.86/95*Notas!$B$3</f>
        <v>177.86</v>
      </c>
      <c r="J776" s="17" t="n">
        <f aca="false">177.86/95*Notas!$B$3</f>
        <v>177.86</v>
      </c>
    </row>
    <row r="777" customFormat="false" ht="15" hidden="false" customHeight="false" outlineLevel="0" collapsed="false">
      <c r="A777" s="13" t="s">
        <v>244</v>
      </c>
      <c r="B777" s="13" t="n">
        <v>83</v>
      </c>
      <c r="C777" s="17" t="n">
        <f aca="false">B777/100*Notas!$B$3</f>
        <v>78.85</v>
      </c>
      <c r="D777" s="17" t="n">
        <f aca="false">49.14/95*Notas!$B$3</f>
        <v>49.14</v>
      </c>
      <c r="E777" s="17" t="n">
        <f aca="false">37.73/95*Notas!$B$3</f>
        <v>37.73</v>
      </c>
      <c r="F777" s="13" t="n">
        <v>3</v>
      </c>
      <c r="G777" s="17" t="n">
        <f aca="false">49.14/95*Notas!$B$3</f>
        <v>49.14</v>
      </c>
      <c r="H777" s="17" t="n">
        <f aca="false">37.73/95*Notas!$B$3</f>
        <v>37.73</v>
      </c>
      <c r="I777" s="17" t="n">
        <f aca="false">167.84/95*Notas!$B$3</f>
        <v>167.84</v>
      </c>
      <c r="J777" s="17" t="n">
        <f aca="false">177.06/95*Notas!$B$3</f>
        <v>177.06</v>
      </c>
    </row>
    <row r="778" customFormat="false" ht="15" hidden="false" customHeight="false" outlineLevel="0" collapsed="false">
      <c r="A778" s="13" t="s">
        <v>244</v>
      </c>
      <c r="B778" s="13" t="n">
        <v>84</v>
      </c>
      <c r="C778" s="17" t="n">
        <f aca="false">B778/100*Notas!$B$3</f>
        <v>79.8</v>
      </c>
      <c r="D778" s="17" t="n">
        <f aca="false">47.73/95*Notas!$B$3</f>
        <v>47.73</v>
      </c>
      <c r="E778" s="17" t="n">
        <f aca="false">37.3/95*Notas!$B$3</f>
        <v>37.3</v>
      </c>
      <c r="F778" s="13" t="n">
        <v>2</v>
      </c>
      <c r="G778" s="17" t="n">
        <f aca="false">47.73/95*Notas!$B$3</f>
        <v>47.73</v>
      </c>
      <c r="H778" s="17" t="n">
        <f aca="false">37.3/95*Notas!$B$3</f>
        <v>37.3</v>
      </c>
      <c r="I778" s="17" t="n">
        <f aca="false">169.38/95*Notas!$B$3</f>
        <v>169.38</v>
      </c>
      <c r="J778" s="17" t="n">
        <f aca="false">172.28/95*Notas!$B$3</f>
        <v>172.28</v>
      </c>
    </row>
    <row r="779" customFormat="false" ht="15" hidden="false" customHeight="false" outlineLevel="0" collapsed="false">
      <c r="A779" s="13" t="s">
        <v>244</v>
      </c>
      <c r="B779" s="13" t="n">
        <v>85</v>
      </c>
      <c r="C779" s="17" t="n">
        <f aca="false">B779/100*Notas!$B$3</f>
        <v>80.75</v>
      </c>
      <c r="D779" s="17" t="n">
        <f aca="false">45.69/95*Notas!$B$3</f>
        <v>45.69</v>
      </c>
      <c r="E779" s="17" t="n">
        <f aca="false">36.81/95*Notas!$B$3</f>
        <v>36.81</v>
      </c>
      <c r="F779" s="13" t="n">
        <v>1</v>
      </c>
      <c r="G779" s="17" t="n">
        <f aca="false">45.69/95*Notas!$B$3</f>
        <v>45.69</v>
      </c>
      <c r="H779" s="17" t="n">
        <f aca="false">36.81/95*Notas!$B$3</f>
        <v>36.81</v>
      </c>
      <c r="I779" s="17" t="n">
        <f aca="false">163.77/95*Notas!$B$3</f>
        <v>163.77</v>
      </c>
      <c r="J779" s="17" t="n">
        <f aca="false">163.77/95*Notas!$B$3</f>
        <v>163.77</v>
      </c>
    </row>
    <row r="780" customFormat="false" ht="15" hidden="false" customHeight="false" outlineLevel="0" collapsed="false">
      <c r="A780" s="13" t="s">
        <v>244</v>
      </c>
      <c r="B780" s="13" t="n">
        <v>86</v>
      </c>
      <c r="C780" s="17" t="n">
        <f aca="false">B780/100*Notas!$B$3</f>
        <v>81.7</v>
      </c>
      <c r="D780" s="17" t="n">
        <f aca="false">43.6/95*Notas!$B$3</f>
        <v>43.6</v>
      </c>
      <c r="E780" s="17" t="n">
        <f aca="false">36/95*Notas!$B$3</f>
        <v>36</v>
      </c>
      <c r="F780" s="13" t="n">
        <v>1</v>
      </c>
      <c r="G780" s="17" t="n">
        <f aca="false">43.6/95*Notas!$B$3</f>
        <v>43.6</v>
      </c>
      <c r="H780" s="17" t="n">
        <f aca="false">36/95*Notas!$B$3</f>
        <v>36</v>
      </c>
      <c r="I780" s="17" t="n">
        <f aca="false">157.56/95*Notas!$B$3</f>
        <v>157.56</v>
      </c>
      <c r="J780" s="17" t="n">
        <f aca="false">157.56/95*Notas!$B$3</f>
        <v>157.56</v>
      </c>
    </row>
    <row r="781" customFormat="false" ht="15" hidden="false" customHeight="false" outlineLevel="0" collapsed="false">
      <c r="A781" s="13" t="s">
        <v>244</v>
      </c>
      <c r="B781" s="13" t="n">
        <v>87</v>
      </c>
      <c r="C781" s="17" t="n">
        <f aca="false">B781/100*Notas!$B$3</f>
        <v>82.65</v>
      </c>
      <c r="D781" s="17" t="n">
        <f aca="false">41.62/95*Notas!$B$3</f>
        <v>41.62</v>
      </c>
      <c r="E781" s="17" t="n">
        <f aca="false">34.94/95*Notas!$B$3</f>
        <v>34.94</v>
      </c>
      <c r="F781" s="13" t="n">
        <v>1</v>
      </c>
      <c r="G781" s="17" t="n">
        <f aca="false">41.62/95*Notas!$B$3</f>
        <v>41.62</v>
      </c>
      <c r="H781" s="17" t="n">
        <f aca="false">34.94/95*Notas!$B$3</f>
        <v>34.94</v>
      </c>
      <c r="I781" s="17" t="n">
        <f aca="false">151.06/95*Notas!$B$3</f>
        <v>151.06</v>
      </c>
      <c r="J781" s="17" t="n">
        <f aca="false">151.06/95*Notas!$B$3</f>
        <v>151.06</v>
      </c>
    </row>
    <row r="782" customFormat="false" ht="15" hidden="false" customHeight="false" outlineLevel="0" collapsed="false">
      <c r="A782" s="13" t="s">
        <v>244</v>
      </c>
      <c r="B782" s="13" t="n">
        <v>88</v>
      </c>
      <c r="C782" s="17" t="n">
        <f aca="false">B782/100*Notas!$B$3</f>
        <v>83.6</v>
      </c>
      <c r="D782" s="17" t="n">
        <f aca="false">40.11/95*Notas!$B$3</f>
        <v>40.11</v>
      </c>
      <c r="E782" s="17" t="n">
        <f aca="false">33.68/95*Notas!$B$3</f>
        <v>33.68</v>
      </c>
      <c r="F782" s="13" t="n">
        <v>1</v>
      </c>
      <c r="G782" s="17" t="n">
        <f aca="false">40.11/95*Notas!$B$3</f>
        <v>40.11</v>
      </c>
      <c r="H782" s="17" t="n">
        <f aca="false">33.68/95*Notas!$B$3</f>
        <v>33.68</v>
      </c>
      <c r="I782" s="17" t="n">
        <f aca="false">151.32/95*Notas!$B$3</f>
        <v>151.32</v>
      </c>
      <c r="J782" s="17" t="n">
        <f aca="false">151.32/95*Notas!$B$3</f>
        <v>151.32</v>
      </c>
    </row>
    <row r="783" customFormat="false" ht="15" hidden="false" customHeight="false" outlineLevel="0" collapsed="false">
      <c r="A783" s="13" t="s">
        <v>244</v>
      </c>
      <c r="B783" s="13" t="n">
        <v>89</v>
      </c>
      <c r="C783" s="17" t="n">
        <f aca="false">B783/100*Notas!$B$3</f>
        <v>84.55</v>
      </c>
      <c r="D783" s="17" t="n">
        <f aca="false">40.6/95*Notas!$B$3</f>
        <v>40.6</v>
      </c>
      <c r="E783" s="17" t="n">
        <f aca="false">32.41/95*Notas!$B$3</f>
        <v>32.41</v>
      </c>
      <c r="F783" s="13" t="n">
        <v>1</v>
      </c>
      <c r="G783" s="17" t="n">
        <f aca="false">40.6/95*Notas!$B$3</f>
        <v>40.6</v>
      </c>
      <c r="H783" s="17" t="n">
        <f aca="false">32.41/95*Notas!$B$3</f>
        <v>32.41</v>
      </c>
      <c r="I783" s="17" t="n">
        <f aca="false">153.44/95*Notas!$B$3</f>
        <v>153.44</v>
      </c>
      <c r="J783" s="17" t="n">
        <f aca="false">153.44/95*Notas!$B$3</f>
        <v>153.44</v>
      </c>
    </row>
    <row r="784" customFormat="false" ht="15" hidden="false" customHeight="false" outlineLevel="0" collapsed="false">
      <c r="A784" s="13" t="s">
        <v>244</v>
      </c>
      <c r="B784" s="13" t="n">
        <v>90</v>
      </c>
      <c r="C784" s="17" t="n">
        <f aca="false">B784/100*Notas!$B$3</f>
        <v>85.5</v>
      </c>
      <c r="D784" s="17" t="n">
        <f aca="false">40.04/95*Notas!$B$3</f>
        <v>40.04</v>
      </c>
      <c r="E784" s="17" t="n">
        <f aca="false">31.44/95*Notas!$B$3</f>
        <v>31.44</v>
      </c>
      <c r="F784" s="13" t="n">
        <v>2</v>
      </c>
      <c r="G784" s="17" t="n">
        <f aca="false">40.04/95*Notas!$B$3</f>
        <v>40.04</v>
      </c>
      <c r="H784" s="17" t="n">
        <f aca="false">31.44/95*Notas!$B$3</f>
        <v>31.44</v>
      </c>
      <c r="I784" s="17" t="n">
        <f aca="false">161.86/95*Notas!$B$3</f>
        <v>161.86</v>
      </c>
      <c r="J784" s="17" t="n">
        <f aca="false">176.49/95*Notas!$B$3</f>
        <v>176.49</v>
      </c>
    </row>
    <row r="785" customFormat="false" ht="15" hidden="false" customHeight="false" outlineLevel="0" collapsed="false">
      <c r="A785" s="13" t="s">
        <v>244</v>
      </c>
      <c r="B785" s="13" t="n">
        <v>91</v>
      </c>
      <c r="C785" s="17" t="n">
        <f aca="false">B785/100*Notas!$B$3</f>
        <v>86.45</v>
      </c>
      <c r="D785" s="17" t="n">
        <f aca="false">38.28/95*Notas!$B$3</f>
        <v>38.28</v>
      </c>
      <c r="E785" s="17" t="n">
        <f aca="false">30.86/95*Notas!$B$3</f>
        <v>30.86</v>
      </c>
      <c r="F785" s="13" t="n">
        <v>2</v>
      </c>
      <c r="G785" s="17" t="n">
        <f aca="false">38.28/95*Notas!$B$3</f>
        <v>38.28</v>
      </c>
      <c r="H785" s="17" t="n">
        <f aca="false">30.86/95*Notas!$B$3</f>
        <v>30.86</v>
      </c>
      <c r="I785" s="17" t="n">
        <f aca="false">164.9/95*Notas!$B$3</f>
        <v>164.9</v>
      </c>
      <c r="J785" s="17" t="n">
        <f aca="false">175.29/95*Notas!$B$3</f>
        <v>175.29</v>
      </c>
    </row>
    <row r="786" customFormat="false" ht="15" hidden="false" customHeight="false" outlineLevel="0" collapsed="false">
      <c r="A786" s="13" t="s">
        <v>244</v>
      </c>
      <c r="B786" s="13" t="n">
        <v>92</v>
      </c>
      <c r="C786" s="17" t="n">
        <f aca="false">B786/100*Notas!$B$3</f>
        <v>87.4</v>
      </c>
      <c r="D786" s="17" t="n">
        <f aca="false">36.45/95*Notas!$B$3</f>
        <v>36.45</v>
      </c>
      <c r="E786" s="17" t="n">
        <f aca="false">29.9/95*Notas!$B$3</f>
        <v>29.9</v>
      </c>
      <c r="F786" s="13" t="n">
        <v>2</v>
      </c>
      <c r="G786" s="17" t="n">
        <f aca="false">31.17/95*Notas!$B$3</f>
        <v>31.17</v>
      </c>
      <c r="H786" s="17" t="n">
        <f aca="false">24.43/95*Notas!$B$3</f>
        <v>24.43</v>
      </c>
      <c r="I786" s="17" t="n">
        <f aca="false">103.45/95*Notas!$B$3</f>
        <v>103.45</v>
      </c>
      <c r="J786" s="17" t="n">
        <f aca="false">148.55/95*Notas!$B$3</f>
        <v>148.55</v>
      </c>
    </row>
    <row r="787" customFormat="false" ht="15" hidden="false" customHeight="false" outlineLevel="0" collapsed="false">
      <c r="A787" s="13" t="s">
        <v>244</v>
      </c>
      <c r="B787" s="13" t="n">
        <v>93</v>
      </c>
      <c r="C787" s="17" t="n">
        <f aca="false">B787/100*Notas!$B$3</f>
        <v>88.35</v>
      </c>
      <c r="D787" s="17" t="n">
        <f aca="false">34.63/95*Notas!$B$3</f>
        <v>34.63</v>
      </c>
      <c r="E787" s="17" t="n">
        <f aca="false">28.13/95*Notas!$B$3</f>
        <v>28.13</v>
      </c>
      <c r="F787" s="13" t="n">
        <v>2</v>
      </c>
      <c r="G787" s="17" t="n">
        <f aca="false">27.99/95*Notas!$B$3</f>
        <v>27.99</v>
      </c>
      <c r="H787" s="17" t="n">
        <f aca="false">22.27/95*Notas!$B$3</f>
        <v>22.27</v>
      </c>
      <c r="I787" s="17" t="n">
        <f aca="false">93.34/95*Notas!$B$3</f>
        <v>93.34</v>
      </c>
      <c r="J787" s="17" t="n">
        <f aca="false">135.39/95*Notas!$B$3</f>
        <v>135.39</v>
      </c>
    </row>
    <row r="788" customFormat="false" ht="15" hidden="false" customHeight="false" outlineLevel="0" collapsed="false">
      <c r="A788" s="13" t="s">
        <v>244</v>
      </c>
      <c r="B788" s="13" t="n">
        <v>94</v>
      </c>
      <c r="C788" s="17" t="n">
        <f aca="false">B788/100*Notas!$B$3</f>
        <v>89.3</v>
      </c>
      <c r="D788" s="17" t="n">
        <f aca="false">32.8/95*Notas!$B$3</f>
        <v>32.8</v>
      </c>
      <c r="E788" s="17" t="n">
        <f aca="false">27.59/95*Notas!$B$3</f>
        <v>27.59</v>
      </c>
      <c r="F788" s="13" t="n">
        <v>4</v>
      </c>
      <c r="G788" s="17" t="n">
        <f aca="false">24.39/95*Notas!$B$3</f>
        <v>24.39</v>
      </c>
      <c r="H788" s="17" t="n">
        <f aca="false">19.17/95*Notas!$B$3</f>
        <v>19.17</v>
      </c>
      <c r="I788" s="17" t="n">
        <f aca="false">75.98/95*Notas!$B$3</f>
        <v>75.98</v>
      </c>
      <c r="J788" s="17" t="n">
        <f aca="false">142.35/95*Notas!$B$3</f>
        <v>142.35</v>
      </c>
    </row>
    <row r="789" customFormat="false" ht="15" hidden="false" customHeight="false" outlineLevel="0" collapsed="false">
      <c r="A789" s="13" t="s">
        <v>244</v>
      </c>
      <c r="B789" s="13" t="n">
        <v>95</v>
      </c>
      <c r="C789" s="17" t="n">
        <f aca="false">B789/100*Notas!$B$3</f>
        <v>90.25</v>
      </c>
      <c r="D789" s="17" t="n">
        <f aca="false">21.74/95*Notas!$B$3</f>
        <v>21.74</v>
      </c>
      <c r="E789" s="17" t="n">
        <f aca="false">26.81/95*Notas!$B$3</f>
        <v>26.81</v>
      </c>
      <c r="F789" s="13" t="n">
        <v>3</v>
      </c>
      <c r="G789" s="17" t="n">
        <f aca="false">21.52/95*Notas!$B$3</f>
        <v>21.52</v>
      </c>
      <c r="H789" s="17" t="n">
        <f aca="false">17.92/95*Notas!$B$3</f>
        <v>17.92</v>
      </c>
      <c r="I789" s="17" t="n">
        <f aca="false">67.01/95*Notas!$B$3</f>
        <v>67.01</v>
      </c>
      <c r="J789" s="17" t="n">
        <f aca="false">95.44/95*Notas!$B$3</f>
        <v>95.44</v>
      </c>
    </row>
    <row r="790" customFormat="false" ht="15" hidden="false" customHeight="false" outlineLevel="0" collapsed="false">
      <c r="A790" s="13" t="s">
        <v>244</v>
      </c>
      <c r="B790" s="13" t="n">
        <v>96</v>
      </c>
      <c r="C790" s="17" t="n">
        <f aca="false">B790/100*Notas!$B$3</f>
        <v>91.2</v>
      </c>
      <c r="D790" s="17" t="n">
        <f aca="false">20.06/95*Notas!$B$3</f>
        <v>20.06</v>
      </c>
      <c r="E790" s="17" t="n">
        <f aca="false">25.92/95*Notas!$B$3</f>
        <v>25.92</v>
      </c>
      <c r="F790" s="13" t="n">
        <v>2</v>
      </c>
      <c r="G790" s="17" t="n">
        <f aca="false">3.95/95*Notas!$B$3</f>
        <v>3.95</v>
      </c>
      <c r="H790" s="17" t="n">
        <f aca="false">3.46/95*Notas!$B$3</f>
        <v>3.46</v>
      </c>
      <c r="I790" s="17" t="n">
        <f aca="false">11.64/95*Notas!$B$3</f>
        <v>11.64</v>
      </c>
      <c r="J790" s="17" t="n">
        <f aca="false">68.45/95*Notas!$B$3</f>
        <v>68.45</v>
      </c>
    </row>
    <row r="791" customFormat="false" ht="15" hidden="false" customHeight="false" outlineLevel="0" collapsed="false">
      <c r="A791" s="13" t="s">
        <v>244</v>
      </c>
      <c r="B791" s="13" t="n">
        <v>97</v>
      </c>
      <c r="C791" s="17" t="n">
        <f aca="false">B791/100*Notas!$B$3</f>
        <v>92.15</v>
      </c>
      <c r="D791" s="17" t="n">
        <f aca="false">18.23/95*Notas!$B$3</f>
        <v>18.23</v>
      </c>
      <c r="E791" s="17" t="n">
        <f aca="false">24.52/95*Notas!$B$3</f>
        <v>24.52</v>
      </c>
      <c r="F791" s="13" t="n">
        <v>2</v>
      </c>
      <c r="G791" s="17" t="n">
        <f aca="false">2.81/95*Notas!$B$3</f>
        <v>2.81</v>
      </c>
      <c r="H791" s="17" t="n">
        <f aca="false">2.28/95*Notas!$B$3</f>
        <v>2.28</v>
      </c>
      <c r="I791" s="17" t="n">
        <f aca="false">7.91/95*Notas!$B$3</f>
        <v>7.91</v>
      </c>
      <c r="J791" s="17" t="n">
        <f aca="false">58.08/95*Notas!$B$3</f>
        <v>58.08</v>
      </c>
    </row>
    <row r="792" customFormat="false" ht="15" hidden="false" customHeight="false" outlineLevel="0" collapsed="false">
      <c r="A792" s="13" t="s">
        <v>244</v>
      </c>
      <c r="B792" s="13" t="n">
        <v>98</v>
      </c>
      <c r="C792" s="17" t="n">
        <f aca="false">B792/100*Notas!$B$3</f>
        <v>93.1</v>
      </c>
      <c r="D792" s="17" t="n">
        <f aca="false">15.04/95*Notas!$B$3</f>
        <v>15.04</v>
      </c>
      <c r="E792" s="17" t="n">
        <f aca="false">12.09/95*Notas!$B$3</f>
        <v>12.09</v>
      </c>
      <c r="F792" s="13" t="n">
        <v>2</v>
      </c>
      <c r="G792" s="17" t="n">
        <f aca="false">1.76/95*Notas!$B$3</f>
        <v>1.76</v>
      </c>
      <c r="H792" s="17" t="n">
        <f aca="false">2.09/95*Notas!$B$3</f>
        <v>2.09</v>
      </c>
      <c r="I792" s="17" t="n">
        <f aca="false">6.18/95*Notas!$B$3</f>
        <v>6.18</v>
      </c>
      <c r="J792" s="17" t="n">
        <f aca="false">43.35/95*Notas!$B$3</f>
        <v>43.35</v>
      </c>
    </row>
    <row r="793" customFormat="false" ht="15" hidden="false" customHeight="false" outlineLevel="0" collapsed="false">
      <c r="A793" s="13" t="s">
        <v>244</v>
      </c>
      <c r="B793" s="13" t="n">
        <v>99</v>
      </c>
      <c r="C793" s="17" t="n">
        <f aca="false">B793/100*Notas!$B$3</f>
        <v>94.05</v>
      </c>
      <c r="D793" s="17" t="n">
        <f aca="false">11.15/95*Notas!$B$3</f>
        <v>11.15</v>
      </c>
      <c r="E793" s="17" t="n">
        <f aca="false">9.74/95*Notas!$B$3</f>
        <v>9.74</v>
      </c>
      <c r="F793" s="13" t="n">
        <v>1</v>
      </c>
      <c r="G793" s="17" t="n">
        <f aca="false">11.15/95*Notas!$B$3</f>
        <v>11.15</v>
      </c>
      <c r="H793" s="17" t="n">
        <f aca="false">9.74/95*Notas!$B$3</f>
        <v>9.74</v>
      </c>
      <c r="I793" s="17" t="n">
        <f aca="false">31.36/95*Notas!$B$3</f>
        <v>31.36</v>
      </c>
      <c r="J793" s="17" t="n">
        <f aca="false">31.36/95*Notas!$B$3</f>
        <v>31.36</v>
      </c>
    </row>
    <row r="794" customFormat="false" ht="15" hidden="false" customHeight="false" outlineLevel="0" collapsed="false">
      <c r="A794" s="13" t="s">
        <v>245</v>
      </c>
      <c r="B794" s="13" t="n">
        <v>1</v>
      </c>
      <c r="C794" s="17" t="n">
        <f aca="false">B794/100*Notas!$B$3</f>
        <v>0.95</v>
      </c>
      <c r="D794" s="17" t="n">
        <f aca="false">23.97/95*Notas!$B$3</f>
        <v>23.97</v>
      </c>
      <c r="E794" s="17" t="n">
        <f aca="false">15.28/95*Notas!$B$3</f>
        <v>15.28</v>
      </c>
      <c r="F794" s="13" t="n">
        <v>2</v>
      </c>
      <c r="G794" s="17" t="n">
        <f aca="false">8.91/95*Notas!$B$3</f>
        <v>8.91</v>
      </c>
      <c r="H794" s="17" t="n">
        <f aca="false">15.22/95*Notas!$B$3</f>
        <v>15.22</v>
      </c>
      <c r="I794" s="17" t="n">
        <f aca="false">44.21/95*Notas!$B$3</f>
        <v>44.21</v>
      </c>
      <c r="J794" s="17" t="n">
        <f aca="false">88.89/95*Notas!$B$3</f>
        <v>88.89</v>
      </c>
    </row>
    <row r="795" customFormat="false" ht="15" hidden="false" customHeight="false" outlineLevel="0" collapsed="false">
      <c r="A795" s="13" t="s">
        <v>245</v>
      </c>
      <c r="B795" s="13" t="n">
        <v>2</v>
      </c>
      <c r="C795" s="17" t="n">
        <f aca="false">B795/100*Notas!$B$3</f>
        <v>1.9</v>
      </c>
      <c r="D795" s="17" t="n">
        <f aca="false">23.89/95*Notas!$B$3</f>
        <v>23.89</v>
      </c>
      <c r="E795" s="17" t="n">
        <f aca="false">15.19/95*Notas!$B$3</f>
        <v>15.19</v>
      </c>
      <c r="F795" s="13" t="n">
        <v>2</v>
      </c>
      <c r="G795" s="17" t="n">
        <f aca="false">8.85/95*Notas!$B$3</f>
        <v>8.85</v>
      </c>
      <c r="H795" s="17" t="n">
        <f aca="false">15.13/95*Notas!$B$3</f>
        <v>15.13</v>
      </c>
      <c r="I795" s="17" t="n">
        <f aca="false">43.94/95*Notas!$B$3</f>
        <v>43.94</v>
      </c>
      <c r="J795" s="17" t="n">
        <f aca="false">88.19/95*Notas!$B$3</f>
        <v>88.19</v>
      </c>
    </row>
    <row r="796" customFormat="false" ht="15" hidden="false" customHeight="false" outlineLevel="0" collapsed="false">
      <c r="A796" s="13" t="s">
        <v>245</v>
      </c>
      <c r="B796" s="13" t="n">
        <v>3</v>
      </c>
      <c r="C796" s="17" t="n">
        <f aca="false">B796/100*Notas!$B$3</f>
        <v>2.85</v>
      </c>
      <c r="D796" s="17" t="n">
        <f aca="false">23.8/95*Notas!$B$3</f>
        <v>23.8</v>
      </c>
      <c r="E796" s="17" t="n">
        <f aca="false">15.04/95*Notas!$B$3</f>
        <v>15.04</v>
      </c>
      <c r="F796" s="13" t="n">
        <v>2</v>
      </c>
      <c r="G796" s="17" t="n">
        <f aca="false">8.79/95*Notas!$B$3</f>
        <v>8.79</v>
      </c>
      <c r="H796" s="17" t="n">
        <f aca="false">14.96/95*Notas!$B$3</f>
        <v>14.96</v>
      </c>
      <c r="I796" s="17" t="n">
        <f aca="false">43.46/95*Notas!$B$3</f>
        <v>43.46</v>
      </c>
      <c r="J796" s="17" t="n">
        <f aca="false">87.21/95*Notas!$B$3</f>
        <v>87.21</v>
      </c>
    </row>
    <row r="797" customFormat="false" ht="15" hidden="false" customHeight="false" outlineLevel="0" collapsed="false">
      <c r="A797" s="13" t="s">
        <v>245</v>
      </c>
      <c r="B797" s="13" t="n">
        <v>4</v>
      </c>
      <c r="C797" s="17" t="n">
        <f aca="false">B797/100*Notas!$B$3</f>
        <v>3.8</v>
      </c>
      <c r="D797" s="17" t="n">
        <f aca="false">23.72/95*Notas!$B$3</f>
        <v>23.72</v>
      </c>
      <c r="E797" s="17" t="n">
        <f aca="false">14.86/95*Notas!$B$3</f>
        <v>14.86</v>
      </c>
      <c r="F797" s="13" t="n">
        <v>2</v>
      </c>
      <c r="G797" s="17" t="n">
        <f aca="false">8.73/95*Notas!$B$3</f>
        <v>8.73</v>
      </c>
      <c r="H797" s="17" t="n">
        <f aca="false">14.78/95*Notas!$B$3</f>
        <v>14.78</v>
      </c>
      <c r="I797" s="17" t="n">
        <f aca="false">42.88/95*Notas!$B$3</f>
        <v>42.88</v>
      </c>
      <c r="J797" s="17" t="n">
        <f aca="false">86.05/95*Notas!$B$3</f>
        <v>86.05</v>
      </c>
    </row>
    <row r="798" customFormat="false" ht="15" hidden="false" customHeight="false" outlineLevel="0" collapsed="false">
      <c r="A798" s="13" t="s">
        <v>245</v>
      </c>
      <c r="B798" s="13" t="n">
        <v>5</v>
      </c>
      <c r="C798" s="17" t="n">
        <f aca="false">B798/100*Notas!$B$3</f>
        <v>4.75</v>
      </c>
      <c r="D798" s="17" t="n">
        <f aca="false">23.64/95*Notas!$B$3</f>
        <v>23.64</v>
      </c>
      <c r="E798" s="17" t="n">
        <f aca="false">14.98/95*Notas!$B$3</f>
        <v>14.98</v>
      </c>
      <c r="F798" s="13" t="n">
        <v>2</v>
      </c>
      <c r="G798" s="17" t="n">
        <f aca="false">8.68/95*Notas!$B$3</f>
        <v>8.68</v>
      </c>
      <c r="H798" s="17" t="n">
        <f aca="false">14.98/95*Notas!$B$3</f>
        <v>14.98</v>
      </c>
      <c r="I798" s="17" t="n">
        <f aca="false">43.38/95*Notas!$B$3</f>
        <v>43.38</v>
      </c>
      <c r="J798" s="17" t="n">
        <f aca="false">86.89/95*Notas!$B$3</f>
        <v>86.89</v>
      </c>
    </row>
    <row r="799" customFormat="false" ht="15" hidden="false" customHeight="false" outlineLevel="0" collapsed="false">
      <c r="A799" s="13" t="s">
        <v>245</v>
      </c>
      <c r="B799" s="13" t="n">
        <v>6</v>
      </c>
      <c r="C799" s="17" t="n">
        <f aca="false">B799/100*Notas!$B$3</f>
        <v>5.7</v>
      </c>
      <c r="D799" s="17" t="n">
        <f aca="false">24.2/95*Notas!$B$3</f>
        <v>24.2</v>
      </c>
      <c r="E799" s="17" t="n">
        <f aca="false">12.51/95*Notas!$B$3</f>
        <v>12.51</v>
      </c>
      <c r="F799" s="13" t="n">
        <v>2</v>
      </c>
      <c r="G799" s="17" t="n">
        <f aca="false">10.45/95*Notas!$B$3</f>
        <v>10.45</v>
      </c>
      <c r="H799" s="17" t="n">
        <f aca="false">11.25/95*Notas!$B$3</f>
        <v>11.25</v>
      </c>
      <c r="I799" s="17" t="n">
        <f aca="false">35.7/95*Notas!$B$3</f>
        <v>35.7</v>
      </c>
      <c r="J799" s="17" t="n">
        <f aca="false">73.83/95*Notas!$B$3</f>
        <v>73.83</v>
      </c>
    </row>
    <row r="800" customFormat="false" ht="15" hidden="false" customHeight="false" outlineLevel="0" collapsed="false">
      <c r="A800" s="13" t="s">
        <v>245</v>
      </c>
      <c r="B800" s="13" t="n">
        <v>7</v>
      </c>
      <c r="C800" s="17" t="n">
        <f aca="false">B800/100*Notas!$B$3</f>
        <v>6.65</v>
      </c>
      <c r="D800" s="17" t="n">
        <f aca="false">23.93/95*Notas!$B$3</f>
        <v>23.93</v>
      </c>
      <c r="E800" s="17" t="n">
        <f aca="false">10.77/95*Notas!$B$3</f>
        <v>10.77</v>
      </c>
      <c r="F800" s="13" t="n">
        <v>2</v>
      </c>
      <c r="G800" s="17" t="n">
        <f aca="false">10.58/95*Notas!$B$3</f>
        <v>10.58</v>
      </c>
      <c r="H800" s="17" t="n">
        <f aca="false">10.77/95*Notas!$B$3</f>
        <v>10.77</v>
      </c>
      <c r="I800" s="17" t="n">
        <f aca="false">34.81/95*Notas!$B$3</f>
        <v>34.81</v>
      </c>
      <c r="J800" s="17" t="n">
        <f aca="false">69.05/95*Notas!$B$3</f>
        <v>69.05</v>
      </c>
    </row>
    <row r="801" customFormat="false" ht="15" hidden="false" customHeight="false" outlineLevel="0" collapsed="false">
      <c r="A801" s="13" t="s">
        <v>245</v>
      </c>
      <c r="B801" s="13" t="n">
        <v>8</v>
      </c>
      <c r="C801" s="17" t="n">
        <f aca="false">B801/100*Notas!$B$3</f>
        <v>7.6</v>
      </c>
      <c r="D801" s="17" t="n">
        <f aca="false">23.4/95*Notas!$B$3</f>
        <v>23.4</v>
      </c>
      <c r="E801" s="17" t="n">
        <f aca="false">10.37/95*Notas!$B$3</f>
        <v>10.37</v>
      </c>
      <c r="F801" s="13" t="n">
        <v>2</v>
      </c>
      <c r="G801" s="17" t="n">
        <f aca="false">10.28/95*Notas!$B$3</f>
        <v>10.28</v>
      </c>
      <c r="H801" s="17" t="n">
        <f aca="false">10.32/95*Notas!$B$3</f>
        <v>10.32</v>
      </c>
      <c r="I801" s="17" t="n">
        <f aca="false">33.32/95*Notas!$B$3</f>
        <v>33.32</v>
      </c>
      <c r="J801" s="17" t="n">
        <f aca="false">66.32/95*Notas!$B$3</f>
        <v>66.32</v>
      </c>
    </row>
    <row r="802" customFormat="false" ht="15" hidden="false" customHeight="false" outlineLevel="0" collapsed="false">
      <c r="A802" s="13" t="s">
        <v>245</v>
      </c>
      <c r="B802" s="13" t="n">
        <v>9</v>
      </c>
      <c r="C802" s="17" t="n">
        <f aca="false">B802/100*Notas!$B$3</f>
        <v>8.55</v>
      </c>
      <c r="D802" s="17" t="n">
        <f aca="false">22.96/95*Notas!$B$3</f>
        <v>22.96</v>
      </c>
      <c r="E802" s="17" t="n">
        <f aca="false">10.06/95*Notas!$B$3</f>
        <v>10.06</v>
      </c>
      <c r="F802" s="13" t="n">
        <v>2</v>
      </c>
      <c r="G802" s="17" t="n">
        <f aca="false">10.05/95*Notas!$B$3</f>
        <v>10.05</v>
      </c>
      <c r="H802" s="17" t="n">
        <f aca="false">9.99/95*Notas!$B$3</f>
        <v>9.99</v>
      </c>
      <c r="I802" s="17" t="n">
        <f aca="false">32.25/95*Notas!$B$3</f>
        <v>32.25</v>
      </c>
      <c r="J802" s="17" t="n">
        <f aca="false">64.41/95*Notas!$B$3</f>
        <v>64.41</v>
      </c>
    </row>
    <row r="803" customFormat="false" ht="15" hidden="false" customHeight="false" outlineLevel="0" collapsed="false">
      <c r="A803" s="13" t="s">
        <v>245</v>
      </c>
      <c r="B803" s="13" t="n">
        <v>10</v>
      </c>
      <c r="C803" s="17" t="n">
        <f aca="false">B803/100*Notas!$B$3</f>
        <v>9.5</v>
      </c>
      <c r="D803" s="17" t="n">
        <f aca="false">22.83/95*Notas!$B$3</f>
        <v>22.83</v>
      </c>
      <c r="E803" s="17" t="n">
        <f aca="false">10.11/95*Notas!$B$3</f>
        <v>10.11</v>
      </c>
      <c r="F803" s="13" t="n">
        <v>2</v>
      </c>
      <c r="G803" s="17" t="n">
        <f aca="false">10.05/95*Notas!$B$3</f>
        <v>10.05</v>
      </c>
      <c r="H803" s="17" t="n">
        <f aca="false">10.02/95*Notas!$B$3</f>
        <v>10.02</v>
      </c>
      <c r="I803" s="17" t="n">
        <f aca="false">32.31/95*Notas!$B$3</f>
        <v>32.31</v>
      </c>
      <c r="J803" s="17" t="n">
        <f aca="false">64.68/95*Notas!$B$3</f>
        <v>64.68</v>
      </c>
    </row>
    <row r="804" customFormat="false" ht="15" hidden="false" customHeight="false" outlineLevel="0" collapsed="false">
      <c r="A804" s="13" t="s">
        <v>245</v>
      </c>
      <c r="B804" s="13" t="n">
        <v>11</v>
      </c>
      <c r="C804" s="17" t="n">
        <f aca="false">B804/100*Notas!$B$3</f>
        <v>10.45</v>
      </c>
      <c r="D804" s="17" t="n">
        <f aca="false">22.7/95*Notas!$B$3</f>
        <v>22.7</v>
      </c>
      <c r="E804" s="17" t="n">
        <f aca="false">10.15/95*Notas!$B$3</f>
        <v>10.15</v>
      </c>
      <c r="F804" s="13" t="n">
        <v>2</v>
      </c>
      <c r="G804" s="17" t="n">
        <f aca="false">10.04/95*Notas!$B$3</f>
        <v>10.04</v>
      </c>
      <c r="H804" s="17" t="n">
        <f aca="false">10.05/95*Notas!$B$3</f>
        <v>10.05</v>
      </c>
      <c r="I804" s="17" t="n">
        <f aca="false">32.38/95*Notas!$B$3</f>
        <v>32.38</v>
      </c>
      <c r="J804" s="17" t="n">
        <f aca="false">64.96/95*Notas!$B$3</f>
        <v>64.96</v>
      </c>
    </row>
    <row r="805" customFormat="false" ht="15" hidden="false" customHeight="false" outlineLevel="0" collapsed="false">
      <c r="A805" s="13" t="s">
        <v>245</v>
      </c>
      <c r="B805" s="13" t="n">
        <v>12</v>
      </c>
      <c r="C805" s="17" t="n">
        <f aca="false">B805/100*Notas!$B$3</f>
        <v>11.4</v>
      </c>
      <c r="D805" s="17" t="n">
        <f aca="false">22.56/95*Notas!$B$3</f>
        <v>22.56</v>
      </c>
      <c r="E805" s="17" t="n">
        <f aca="false">10.2/95*Notas!$B$3</f>
        <v>10.2</v>
      </c>
      <c r="F805" s="13" t="n">
        <v>2</v>
      </c>
      <c r="G805" s="17" t="n">
        <f aca="false">10/95*Notas!$B$3</f>
        <v>10</v>
      </c>
      <c r="H805" s="17" t="n">
        <f aca="false">10.08/95*Notas!$B$3</f>
        <v>10.08</v>
      </c>
      <c r="I805" s="17" t="n">
        <f aca="false">32.44/95*Notas!$B$3</f>
        <v>32.44</v>
      </c>
      <c r="J805" s="17" t="n">
        <f aca="false">65.29/95*Notas!$B$3</f>
        <v>65.29</v>
      </c>
    </row>
    <row r="806" customFormat="false" ht="15" hidden="false" customHeight="false" outlineLevel="0" collapsed="false">
      <c r="A806" s="13" t="s">
        <v>245</v>
      </c>
      <c r="B806" s="13" t="n">
        <v>13</v>
      </c>
      <c r="C806" s="17" t="n">
        <f aca="false">B806/100*Notas!$B$3</f>
        <v>12.35</v>
      </c>
      <c r="D806" s="17" t="n">
        <f aca="false">22.37/95*Notas!$B$3</f>
        <v>22.37</v>
      </c>
      <c r="E806" s="17" t="n">
        <f aca="false">10.24/95*Notas!$B$3</f>
        <v>10.24</v>
      </c>
      <c r="F806" s="13" t="n">
        <v>2</v>
      </c>
      <c r="G806" s="17" t="n">
        <f aca="false">9.92/95*Notas!$B$3</f>
        <v>9.92</v>
      </c>
      <c r="H806" s="17" t="n">
        <f aca="false">10.12/95*Notas!$B$3</f>
        <v>10.12</v>
      </c>
      <c r="I806" s="17" t="n">
        <f aca="false">32.52/95*Notas!$B$3</f>
        <v>32.52</v>
      </c>
      <c r="J806" s="17" t="n">
        <f aca="false">65.63/95*Notas!$B$3</f>
        <v>65.63</v>
      </c>
    </row>
    <row r="807" customFormat="false" ht="15" hidden="false" customHeight="false" outlineLevel="0" collapsed="false">
      <c r="A807" s="13" t="s">
        <v>245</v>
      </c>
      <c r="B807" s="13" t="n">
        <v>14</v>
      </c>
      <c r="C807" s="17" t="n">
        <f aca="false">B807/100*Notas!$B$3</f>
        <v>13.3</v>
      </c>
      <c r="D807" s="17" t="n">
        <f aca="false">22.17/95*Notas!$B$3</f>
        <v>22.17</v>
      </c>
      <c r="E807" s="17" t="n">
        <f aca="false">10.28/95*Notas!$B$3</f>
        <v>10.28</v>
      </c>
      <c r="F807" s="13" t="n">
        <v>2</v>
      </c>
      <c r="G807" s="17" t="n">
        <f aca="false">9.86/95*Notas!$B$3</f>
        <v>9.86</v>
      </c>
      <c r="H807" s="17" t="n">
        <f aca="false">10.17/95*Notas!$B$3</f>
        <v>10.17</v>
      </c>
      <c r="I807" s="17" t="n">
        <f aca="false">32.67/95*Notas!$B$3</f>
        <v>32.67</v>
      </c>
      <c r="J807" s="17" t="n">
        <f aca="false">66.06/95*Notas!$B$3</f>
        <v>66.06</v>
      </c>
    </row>
    <row r="808" customFormat="false" ht="15" hidden="false" customHeight="false" outlineLevel="0" collapsed="false">
      <c r="A808" s="13" t="s">
        <v>245</v>
      </c>
      <c r="B808" s="13" t="n">
        <v>15</v>
      </c>
      <c r="C808" s="17" t="n">
        <f aca="false">B808/100*Notas!$B$3</f>
        <v>14.25</v>
      </c>
      <c r="D808" s="17" t="n">
        <f aca="false">21.98/95*Notas!$B$3</f>
        <v>21.98</v>
      </c>
      <c r="E808" s="17" t="n">
        <f aca="false">10.33/95*Notas!$B$3</f>
        <v>10.33</v>
      </c>
      <c r="F808" s="13" t="n">
        <v>2</v>
      </c>
      <c r="G808" s="17" t="n">
        <f aca="false">9.9/95*Notas!$B$3</f>
        <v>9.9</v>
      </c>
      <c r="H808" s="17" t="n">
        <f aca="false">10.23/95*Notas!$B$3</f>
        <v>10.23</v>
      </c>
      <c r="I808" s="17" t="n">
        <f aca="false">32.9/95*Notas!$B$3</f>
        <v>32.9</v>
      </c>
      <c r="J808" s="17" t="n">
        <f aca="false">66.7/95*Notas!$B$3</f>
        <v>66.7</v>
      </c>
    </row>
    <row r="809" customFormat="false" ht="15" hidden="false" customHeight="false" outlineLevel="0" collapsed="false">
      <c r="A809" s="13" t="s">
        <v>245</v>
      </c>
      <c r="B809" s="13" t="n">
        <v>16</v>
      </c>
      <c r="C809" s="17" t="n">
        <f aca="false">B809/100*Notas!$B$3</f>
        <v>15.2</v>
      </c>
      <c r="D809" s="17" t="n">
        <f aca="false">21.76/95*Notas!$B$3</f>
        <v>21.76</v>
      </c>
      <c r="E809" s="17" t="n">
        <f aca="false">10.4/95*Notas!$B$3</f>
        <v>10.4</v>
      </c>
      <c r="F809" s="13" t="n">
        <v>2</v>
      </c>
      <c r="G809" s="17" t="n">
        <f aca="false">9.99/95*Notas!$B$3</f>
        <v>9.99</v>
      </c>
      <c r="H809" s="17" t="n">
        <f aca="false">10.3/95*Notas!$B$3</f>
        <v>10.3</v>
      </c>
      <c r="I809" s="17" t="n">
        <f aca="false">33.03/95*Notas!$B$3</f>
        <v>33.03</v>
      </c>
      <c r="J809" s="17" t="n">
        <f aca="false">67.07/95*Notas!$B$3</f>
        <v>67.07</v>
      </c>
    </row>
    <row r="810" customFormat="false" ht="15" hidden="false" customHeight="false" outlineLevel="0" collapsed="false">
      <c r="A810" s="13" t="s">
        <v>245</v>
      </c>
      <c r="B810" s="13" t="n">
        <v>17</v>
      </c>
      <c r="C810" s="17" t="n">
        <f aca="false">B810/100*Notas!$B$3</f>
        <v>16.15</v>
      </c>
      <c r="D810" s="17" t="n">
        <f aca="false">21.54/95*Notas!$B$3</f>
        <v>21.54</v>
      </c>
      <c r="E810" s="17" t="n">
        <f aca="false">10.51/95*Notas!$B$3</f>
        <v>10.51</v>
      </c>
      <c r="F810" s="13" t="n">
        <v>2</v>
      </c>
      <c r="G810" s="17" t="n">
        <f aca="false">10.43/95*Notas!$B$3</f>
        <v>10.43</v>
      </c>
      <c r="H810" s="17" t="n">
        <f aca="false">10.51/95*Notas!$B$3</f>
        <v>10.51</v>
      </c>
      <c r="I810" s="17" t="n">
        <f aca="false">34.45/95*Notas!$B$3</f>
        <v>34.45</v>
      </c>
      <c r="J810" s="17" t="n">
        <f aca="false">67.78/95*Notas!$B$3</f>
        <v>67.78</v>
      </c>
    </row>
    <row r="811" customFormat="false" ht="15" hidden="false" customHeight="false" outlineLevel="0" collapsed="false">
      <c r="A811" s="13" t="s">
        <v>245</v>
      </c>
      <c r="B811" s="13" t="n">
        <v>18</v>
      </c>
      <c r="C811" s="17" t="n">
        <f aca="false">B811/100*Notas!$B$3</f>
        <v>17.1</v>
      </c>
      <c r="D811" s="17" t="n">
        <f aca="false">21.32/95*Notas!$B$3</f>
        <v>21.32</v>
      </c>
      <c r="E811" s="17" t="n">
        <f aca="false">10.83/95*Notas!$B$3</f>
        <v>10.83</v>
      </c>
      <c r="F811" s="13" t="n">
        <v>2</v>
      </c>
      <c r="G811" s="17" t="n">
        <f aca="false">10.61/95*Notas!$B$3</f>
        <v>10.61</v>
      </c>
      <c r="H811" s="17" t="n">
        <f aca="false">10.72/95*Notas!$B$3</f>
        <v>10.72</v>
      </c>
      <c r="I811" s="17" t="n">
        <f aca="false">35.26/95*Notas!$B$3</f>
        <v>35.26</v>
      </c>
      <c r="J811" s="17" t="n">
        <f aca="false">69.42/95*Notas!$B$3</f>
        <v>69.42</v>
      </c>
    </row>
    <row r="812" customFormat="false" ht="15" hidden="false" customHeight="false" outlineLevel="0" collapsed="false">
      <c r="A812" s="13" t="s">
        <v>245</v>
      </c>
      <c r="B812" s="13" t="n">
        <v>19</v>
      </c>
      <c r="C812" s="17" t="n">
        <f aca="false">B812/100*Notas!$B$3</f>
        <v>18.05</v>
      </c>
      <c r="D812" s="17" t="n">
        <f aca="false">21.11/95*Notas!$B$3</f>
        <v>21.11</v>
      </c>
      <c r="E812" s="17" t="n">
        <f aca="false">11.56/95*Notas!$B$3</f>
        <v>11.56</v>
      </c>
      <c r="F812" s="13" t="n">
        <v>1</v>
      </c>
      <c r="G812" s="17" t="n">
        <f aca="false">21.11/95*Notas!$B$3</f>
        <v>21.11</v>
      </c>
      <c r="H812" s="17" t="n">
        <f aca="false">11.56/95*Notas!$B$3</f>
        <v>11.56</v>
      </c>
      <c r="I812" s="17" t="n">
        <f aca="false">64.58/95*Notas!$B$3</f>
        <v>64.58</v>
      </c>
      <c r="J812" s="17" t="n">
        <f aca="false">64.58/95*Notas!$B$3</f>
        <v>64.58</v>
      </c>
    </row>
    <row r="813" customFormat="false" ht="15" hidden="false" customHeight="false" outlineLevel="0" collapsed="false">
      <c r="A813" s="13" t="s">
        <v>245</v>
      </c>
      <c r="B813" s="13" t="n">
        <v>20</v>
      </c>
      <c r="C813" s="17" t="n">
        <f aca="false">B813/100*Notas!$B$3</f>
        <v>19</v>
      </c>
      <c r="D813" s="17" t="n">
        <f aca="false">21.72/95*Notas!$B$3</f>
        <v>21.72</v>
      </c>
      <c r="E813" s="17" t="n">
        <f aca="false">11.72/95*Notas!$B$3</f>
        <v>11.72</v>
      </c>
      <c r="F813" s="13" t="n">
        <v>1</v>
      </c>
      <c r="G813" s="17" t="n">
        <f aca="false">21.72/95*Notas!$B$3</f>
        <v>21.72</v>
      </c>
      <c r="H813" s="17" t="n">
        <f aca="false">11.72/95*Notas!$B$3</f>
        <v>11.72</v>
      </c>
      <c r="I813" s="17" t="n">
        <f aca="false">59.03/95*Notas!$B$3</f>
        <v>59.03</v>
      </c>
      <c r="J813" s="17" t="n">
        <f aca="false">59.03/95*Notas!$B$3</f>
        <v>59.03</v>
      </c>
    </row>
    <row r="814" customFormat="false" ht="15" hidden="false" customHeight="false" outlineLevel="0" collapsed="false">
      <c r="A814" s="13" t="s">
        <v>245</v>
      </c>
      <c r="B814" s="13" t="n">
        <v>21</v>
      </c>
      <c r="C814" s="17" t="n">
        <f aca="false">B814/100*Notas!$B$3</f>
        <v>19.95</v>
      </c>
      <c r="D814" s="17" t="n">
        <f aca="false">23.04/95*Notas!$B$3</f>
        <v>23.04</v>
      </c>
      <c r="E814" s="17" t="n">
        <f aca="false">12/95*Notas!$B$3</f>
        <v>12</v>
      </c>
      <c r="F814" s="13" t="n">
        <v>1</v>
      </c>
      <c r="G814" s="17" t="n">
        <f aca="false">23.04/95*Notas!$B$3</f>
        <v>23.04</v>
      </c>
      <c r="H814" s="17" t="n">
        <f aca="false">12/95*Notas!$B$3</f>
        <v>12</v>
      </c>
      <c r="I814" s="17" t="n">
        <f aca="false">60.14/95*Notas!$B$3</f>
        <v>60.14</v>
      </c>
      <c r="J814" s="17" t="n">
        <f aca="false">60.14/95*Notas!$B$3</f>
        <v>60.14</v>
      </c>
    </row>
    <row r="815" customFormat="false" ht="15" hidden="false" customHeight="false" outlineLevel="0" collapsed="false">
      <c r="A815" s="13" t="s">
        <v>245</v>
      </c>
      <c r="B815" s="13" t="n">
        <v>22</v>
      </c>
      <c r="C815" s="17" t="n">
        <f aca="false">B815/100*Notas!$B$3</f>
        <v>20.9</v>
      </c>
      <c r="D815" s="17" t="n">
        <f aca="false">21.68/95*Notas!$B$3</f>
        <v>21.68</v>
      </c>
      <c r="E815" s="17" t="n">
        <f aca="false">13.31/95*Notas!$B$3</f>
        <v>13.31</v>
      </c>
      <c r="F815" s="13" t="n">
        <v>1</v>
      </c>
      <c r="G815" s="17" t="n">
        <f aca="false">21.68/95*Notas!$B$3</f>
        <v>21.68</v>
      </c>
      <c r="H815" s="17" t="n">
        <f aca="false">13.31/95*Notas!$B$3</f>
        <v>13.31</v>
      </c>
      <c r="I815" s="17" t="n">
        <f aca="false">57.74/95*Notas!$B$3</f>
        <v>57.74</v>
      </c>
      <c r="J815" s="17" t="n">
        <f aca="false">57.74/95*Notas!$B$3</f>
        <v>57.74</v>
      </c>
    </row>
    <row r="816" customFormat="false" ht="15" hidden="false" customHeight="false" outlineLevel="0" collapsed="false">
      <c r="A816" s="13" t="s">
        <v>245</v>
      </c>
      <c r="B816" s="13" t="n">
        <v>23</v>
      </c>
      <c r="C816" s="17" t="n">
        <f aca="false">B816/100*Notas!$B$3</f>
        <v>21.85</v>
      </c>
      <c r="D816" s="17" t="n">
        <f aca="false">20.14/95*Notas!$B$3</f>
        <v>20.14</v>
      </c>
      <c r="E816" s="17" t="n">
        <f aca="false">14.29/95*Notas!$B$3</f>
        <v>14.29</v>
      </c>
      <c r="F816" s="13" t="n">
        <v>1</v>
      </c>
      <c r="G816" s="17" t="n">
        <f aca="false">20.14/95*Notas!$B$3</f>
        <v>20.14</v>
      </c>
      <c r="H816" s="17" t="n">
        <f aca="false">14.29/95*Notas!$B$3</f>
        <v>14.29</v>
      </c>
      <c r="I816" s="17" t="n">
        <f aca="false">55.72/95*Notas!$B$3</f>
        <v>55.72</v>
      </c>
      <c r="J816" s="17" t="n">
        <f aca="false">55.72/95*Notas!$B$3</f>
        <v>55.72</v>
      </c>
    </row>
    <row r="817" customFormat="false" ht="15" hidden="false" customHeight="false" outlineLevel="0" collapsed="false">
      <c r="A817" s="13" t="s">
        <v>245</v>
      </c>
      <c r="B817" s="13" t="n">
        <v>24</v>
      </c>
      <c r="C817" s="17" t="n">
        <f aca="false">B817/100*Notas!$B$3</f>
        <v>22.8</v>
      </c>
      <c r="D817" s="17" t="n">
        <f aca="false">18.64/95*Notas!$B$3</f>
        <v>18.64</v>
      </c>
      <c r="E817" s="17" t="n">
        <f aca="false">14.67/95*Notas!$B$3</f>
        <v>14.67</v>
      </c>
      <c r="F817" s="13" t="n">
        <v>1</v>
      </c>
      <c r="G817" s="17" t="n">
        <f aca="false">18.64/95*Notas!$B$3</f>
        <v>18.64</v>
      </c>
      <c r="H817" s="17" t="n">
        <f aca="false">14.67/95*Notas!$B$3</f>
        <v>14.67</v>
      </c>
      <c r="I817" s="17" t="n">
        <f aca="false">54.04/95*Notas!$B$3</f>
        <v>54.04</v>
      </c>
      <c r="J817" s="17" t="n">
        <f aca="false">54.04/95*Notas!$B$3</f>
        <v>54.04</v>
      </c>
    </row>
    <row r="818" customFormat="false" ht="15" hidden="false" customHeight="false" outlineLevel="0" collapsed="false">
      <c r="A818" s="13" t="s">
        <v>245</v>
      </c>
      <c r="B818" s="13" t="n">
        <v>25</v>
      </c>
      <c r="C818" s="17" t="n">
        <f aca="false">B818/100*Notas!$B$3</f>
        <v>23.75</v>
      </c>
      <c r="D818" s="17" t="n">
        <f aca="false">17.21/95*Notas!$B$3</f>
        <v>17.21</v>
      </c>
      <c r="E818" s="17" t="n">
        <f aca="false">14.78/95*Notas!$B$3</f>
        <v>14.78</v>
      </c>
      <c r="F818" s="13" t="n">
        <v>1</v>
      </c>
      <c r="G818" s="17" t="n">
        <f aca="false">17.21/95*Notas!$B$3</f>
        <v>17.21</v>
      </c>
      <c r="H818" s="17" t="n">
        <f aca="false">14.78/95*Notas!$B$3</f>
        <v>14.78</v>
      </c>
      <c r="I818" s="17" t="n">
        <f aca="false">52.84/95*Notas!$B$3</f>
        <v>52.84</v>
      </c>
      <c r="J818" s="17" t="n">
        <f aca="false">52.84/95*Notas!$B$3</f>
        <v>52.84</v>
      </c>
    </row>
    <row r="819" customFormat="false" ht="15" hidden="false" customHeight="false" outlineLevel="0" collapsed="false">
      <c r="A819" s="13" t="s">
        <v>245</v>
      </c>
      <c r="B819" s="13" t="n">
        <v>26</v>
      </c>
      <c r="C819" s="17" t="n">
        <f aca="false">B819/100*Notas!$B$3</f>
        <v>24.7</v>
      </c>
      <c r="D819" s="17" t="n">
        <f aca="false">16.29/95*Notas!$B$3</f>
        <v>16.29</v>
      </c>
      <c r="E819" s="17" t="n">
        <f aca="false">14.89/95*Notas!$B$3</f>
        <v>14.89</v>
      </c>
      <c r="F819" s="13" t="n">
        <v>1</v>
      </c>
      <c r="G819" s="17" t="n">
        <f aca="false">16.29/95*Notas!$B$3</f>
        <v>16.29</v>
      </c>
      <c r="H819" s="17" t="n">
        <f aca="false">14.89/95*Notas!$B$3</f>
        <v>14.89</v>
      </c>
      <c r="I819" s="17" t="n">
        <f aca="false">52/95*Notas!$B$3</f>
        <v>52</v>
      </c>
      <c r="J819" s="17" t="n">
        <f aca="false">52/95*Notas!$B$3</f>
        <v>52</v>
      </c>
    </row>
    <row r="820" customFormat="false" ht="15" hidden="false" customHeight="false" outlineLevel="0" collapsed="false">
      <c r="A820" s="13" t="s">
        <v>245</v>
      </c>
      <c r="B820" s="13" t="n">
        <v>27</v>
      </c>
      <c r="C820" s="17" t="n">
        <f aca="false">B820/100*Notas!$B$3</f>
        <v>25.65</v>
      </c>
      <c r="D820" s="17" t="n">
        <f aca="false">15.92/95*Notas!$B$3</f>
        <v>15.92</v>
      </c>
      <c r="E820" s="17" t="n">
        <f aca="false">15.08/95*Notas!$B$3</f>
        <v>15.08</v>
      </c>
      <c r="F820" s="13" t="n">
        <v>1</v>
      </c>
      <c r="G820" s="17" t="n">
        <f aca="false">15.92/95*Notas!$B$3</f>
        <v>15.92</v>
      </c>
      <c r="H820" s="17" t="n">
        <f aca="false">15.08/95*Notas!$B$3</f>
        <v>15.08</v>
      </c>
      <c r="I820" s="17" t="n">
        <f aca="false">51.49/95*Notas!$B$3</f>
        <v>51.49</v>
      </c>
      <c r="J820" s="17" t="n">
        <f aca="false">51.49/95*Notas!$B$3</f>
        <v>51.49</v>
      </c>
    </row>
    <row r="821" customFormat="false" ht="15" hidden="false" customHeight="false" outlineLevel="0" collapsed="false">
      <c r="A821" s="13" t="s">
        <v>245</v>
      </c>
      <c r="B821" s="13" t="n">
        <v>28</v>
      </c>
      <c r="C821" s="17" t="n">
        <f aca="false">B821/100*Notas!$B$3</f>
        <v>26.6</v>
      </c>
      <c r="D821" s="17" t="n">
        <f aca="false">15.64/95*Notas!$B$3</f>
        <v>15.64</v>
      </c>
      <c r="E821" s="17" t="n">
        <f aca="false">15.19/95*Notas!$B$3</f>
        <v>15.19</v>
      </c>
      <c r="F821" s="13" t="n">
        <v>1</v>
      </c>
      <c r="G821" s="17" t="n">
        <f aca="false">15.64/95*Notas!$B$3</f>
        <v>15.64</v>
      </c>
      <c r="H821" s="17" t="n">
        <f aca="false">15.19/95*Notas!$B$3</f>
        <v>15.19</v>
      </c>
      <c r="I821" s="17" t="n">
        <f aca="false">51.03/95*Notas!$B$3</f>
        <v>51.03</v>
      </c>
      <c r="J821" s="17" t="n">
        <f aca="false">51.03/95*Notas!$B$3</f>
        <v>51.03</v>
      </c>
    </row>
    <row r="822" customFormat="false" ht="15" hidden="false" customHeight="false" outlineLevel="0" collapsed="false">
      <c r="A822" s="13" t="s">
        <v>245</v>
      </c>
      <c r="B822" s="13" t="n">
        <v>29</v>
      </c>
      <c r="C822" s="17" t="n">
        <f aca="false">B822/100*Notas!$B$3</f>
        <v>27.55</v>
      </c>
      <c r="D822" s="17" t="n">
        <f aca="false">37.94/95*Notas!$B$3</f>
        <v>37.94</v>
      </c>
      <c r="E822" s="17" t="n">
        <f aca="false">14.91/95*Notas!$B$3</f>
        <v>14.91</v>
      </c>
      <c r="F822" s="13" t="n">
        <v>3</v>
      </c>
      <c r="G822" s="17" t="n">
        <f aca="false">15.43/95*Notas!$B$3</f>
        <v>15.43</v>
      </c>
      <c r="H822" s="17" t="n">
        <f aca="false">14.91/95*Notas!$B$3</f>
        <v>14.91</v>
      </c>
      <c r="I822" s="17" t="n">
        <f aca="false">52.24/95*Notas!$B$3</f>
        <v>52.24</v>
      </c>
      <c r="J822" s="17" t="n">
        <f aca="false">67.13/95*Notas!$B$3</f>
        <v>67.13</v>
      </c>
    </row>
    <row r="823" customFormat="false" ht="15" hidden="false" customHeight="false" outlineLevel="0" collapsed="false">
      <c r="A823" s="13" t="s">
        <v>245</v>
      </c>
      <c r="B823" s="13" t="n">
        <v>30</v>
      </c>
      <c r="C823" s="17" t="n">
        <f aca="false">B823/100*Notas!$B$3</f>
        <v>28.5</v>
      </c>
      <c r="D823" s="17" t="n">
        <f aca="false">38.7/95*Notas!$B$3</f>
        <v>38.7</v>
      </c>
      <c r="E823" s="17" t="n">
        <f aca="false">14.51/95*Notas!$B$3</f>
        <v>14.51</v>
      </c>
      <c r="F823" s="13" t="n">
        <v>3</v>
      </c>
      <c r="G823" s="17" t="n">
        <f aca="false">15.16/95*Notas!$B$3</f>
        <v>15.16</v>
      </c>
      <c r="H823" s="17" t="n">
        <f aca="false">14.51/95*Notas!$B$3</f>
        <v>14.51</v>
      </c>
      <c r="I823" s="17" t="n">
        <f aca="false">51.33/95*Notas!$B$3</f>
        <v>51.33</v>
      </c>
      <c r="J823" s="17" t="n">
        <f aca="false">87.62/95*Notas!$B$3</f>
        <v>87.62</v>
      </c>
    </row>
    <row r="824" customFormat="false" ht="15" hidden="false" customHeight="false" outlineLevel="0" collapsed="false">
      <c r="A824" s="13" t="s">
        <v>245</v>
      </c>
      <c r="B824" s="13" t="n">
        <v>31</v>
      </c>
      <c r="C824" s="17" t="n">
        <f aca="false">B824/100*Notas!$B$3</f>
        <v>29.45</v>
      </c>
      <c r="D824" s="17" t="n">
        <f aca="false">39.32/95*Notas!$B$3</f>
        <v>39.32</v>
      </c>
      <c r="E824" s="17" t="n">
        <f aca="false">14.32/95*Notas!$B$3</f>
        <v>14.32</v>
      </c>
      <c r="F824" s="13" t="n">
        <v>3</v>
      </c>
      <c r="G824" s="17" t="n">
        <f aca="false">14.89/95*Notas!$B$3</f>
        <v>14.89</v>
      </c>
      <c r="H824" s="17" t="n">
        <f aca="false">14.32/95*Notas!$B$3</f>
        <v>14.32</v>
      </c>
      <c r="I824" s="17" t="n">
        <f aca="false">50.74/95*Notas!$B$3</f>
        <v>50.74</v>
      </c>
      <c r="J824" s="17" t="n">
        <f aca="false">115.08/95*Notas!$B$3</f>
        <v>115.08</v>
      </c>
    </row>
    <row r="825" customFormat="false" ht="15" hidden="false" customHeight="false" outlineLevel="0" collapsed="false">
      <c r="A825" s="13" t="s">
        <v>245</v>
      </c>
      <c r="B825" s="13" t="n">
        <v>32</v>
      </c>
      <c r="C825" s="17" t="n">
        <f aca="false">B825/100*Notas!$B$3</f>
        <v>30.4</v>
      </c>
      <c r="D825" s="17" t="n">
        <f aca="false">46.22/95*Notas!$B$3</f>
        <v>46.22</v>
      </c>
      <c r="E825" s="17" t="n">
        <f aca="false">14.39/95*Notas!$B$3</f>
        <v>14.39</v>
      </c>
      <c r="F825" s="13" t="n">
        <v>3</v>
      </c>
      <c r="G825" s="17" t="n">
        <f aca="false">39.98/95*Notas!$B$3</f>
        <v>39.98</v>
      </c>
      <c r="H825" s="17" t="n">
        <f aca="false">14.13/95*Notas!$B$3</f>
        <v>14.13</v>
      </c>
      <c r="I825" s="17" t="n">
        <f aca="false">114.52/95*Notas!$B$3</f>
        <v>114.52</v>
      </c>
      <c r="J825" s="17" t="n">
        <f aca="false">127.79/95*Notas!$B$3</f>
        <v>127.79</v>
      </c>
    </row>
    <row r="826" customFormat="false" ht="15" hidden="false" customHeight="false" outlineLevel="0" collapsed="false">
      <c r="A826" s="13" t="s">
        <v>245</v>
      </c>
      <c r="B826" s="13" t="n">
        <v>33</v>
      </c>
      <c r="C826" s="17" t="n">
        <f aca="false">B826/100*Notas!$B$3</f>
        <v>31.35</v>
      </c>
      <c r="D826" s="17" t="n">
        <f aca="false">54.12/95*Notas!$B$3</f>
        <v>54.12</v>
      </c>
      <c r="E826" s="17" t="n">
        <f aca="false">14.85/95*Notas!$B$3</f>
        <v>14.85</v>
      </c>
      <c r="F826" s="13" t="n">
        <v>1</v>
      </c>
      <c r="G826" s="17" t="n">
        <f aca="false">54.12/95*Notas!$B$3</f>
        <v>54.12</v>
      </c>
      <c r="H826" s="17" t="n">
        <f aca="false">14.85/95*Notas!$B$3</f>
        <v>14.85</v>
      </c>
      <c r="I826" s="17" t="n">
        <f aca="false">141.82/95*Notas!$B$3</f>
        <v>141.82</v>
      </c>
      <c r="J826" s="17" t="n">
        <f aca="false">141.82/95*Notas!$B$3</f>
        <v>141.82</v>
      </c>
    </row>
    <row r="827" customFormat="false" ht="15" hidden="false" customHeight="false" outlineLevel="0" collapsed="false">
      <c r="A827" s="13" t="s">
        <v>245</v>
      </c>
      <c r="B827" s="13" t="n">
        <v>34</v>
      </c>
      <c r="C827" s="17" t="n">
        <f aca="false">B827/100*Notas!$B$3</f>
        <v>32.3</v>
      </c>
      <c r="D827" s="17" t="n">
        <f aca="false">59.1/95*Notas!$B$3</f>
        <v>59.1</v>
      </c>
      <c r="E827" s="17" t="n">
        <f aca="false">14.55/95*Notas!$B$3</f>
        <v>14.55</v>
      </c>
      <c r="F827" s="13" t="n">
        <v>1</v>
      </c>
      <c r="G827" s="17" t="n">
        <f aca="false">59.1/95*Notas!$B$3</f>
        <v>59.1</v>
      </c>
      <c r="H827" s="17" t="n">
        <f aca="false">14.55/95*Notas!$B$3</f>
        <v>14.55</v>
      </c>
      <c r="I827" s="17" t="n">
        <f aca="false">150.67/95*Notas!$B$3</f>
        <v>150.67</v>
      </c>
      <c r="J827" s="17" t="n">
        <f aca="false">150.67/95*Notas!$B$3</f>
        <v>150.67</v>
      </c>
    </row>
    <row r="828" customFormat="false" ht="15" hidden="false" customHeight="false" outlineLevel="0" collapsed="false">
      <c r="A828" s="13" t="s">
        <v>245</v>
      </c>
      <c r="B828" s="13" t="n">
        <v>35</v>
      </c>
      <c r="C828" s="17" t="n">
        <f aca="false">B828/100*Notas!$B$3</f>
        <v>33.25</v>
      </c>
      <c r="D828" s="17" t="n">
        <f aca="false">63.33/95*Notas!$B$3</f>
        <v>63.33</v>
      </c>
      <c r="E828" s="17" t="n">
        <f aca="false">13.4/95*Notas!$B$3</f>
        <v>13.4</v>
      </c>
      <c r="F828" s="13" t="n">
        <v>1</v>
      </c>
      <c r="G828" s="17" t="n">
        <f aca="false">63.33/95*Notas!$B$3</f>
        <v>63.33</v>
      </c>
      <c r="H828" s="17" t="n">
        <f aca="false">13.4/95*Notas!$B$3</f>
        <v>13.4</v>
      </c>
      <c r="I828" s="17" t="n">
        <f aca="false">156.52/95*Notas!$B$3</f>
        <v>156.52</v>
      </c>
      <c r="J828" s="17" t="n">
        <f aca="false">156.52/95*Notas!$B$3</f>
        <v>156.52</v>
      </c>
    </row>
    <row r="829" customFormat="false" ht="15" hidden="false" customHeight="false" outlineLevel="0" collapsed="false">
      <c r="A829" s="13" t="s">
        <v>245</v>
      </c>
      <c r="B829" s="13" t="n">
        <v>36</v>
      </c>
      <c r="C829" s="17" t="n">
        <f aca="false">B829/100*Notas!$B$3</f>
        <v>34.2</v>
      </c>
      <c r="D829" s="17" t="n">
        <f aca="false">63.35/95*Notas!$B$3</f>
        <v>63.35</v>
      </c>
      <c r="E829" s="17" t="n">
        <f aca="false">12.75/95*Notas!$B$3</f>
        <v>12.75</v>
      </c>
      <c r="F829" s="13" t="n">
        <v>1</v>
      </c>
      <c r="G829" s="17" t="n">
        <f aca="false">63.35/95*Notas!$B$3</f>
        <v>63.35</v>
      </c>
      <c r="H829" s="17" t="n">
        <f aca="false">12.75/95*Notas!$B$3</f>
        <v>12.75</v>
      </c>
      <c r="I829" s="17" t="n">
        <f aca="false">153.37/95*Notas!$B$3</f>
        <v>153.37</v>
      </c>
      <c r="J829" s="17" t="n">
        <f aca="false">153.37/95*Notas!$B$3</f>
        <v>153.37</v>
      </c>
    </row>
    <row r="830" customFormat="false" ht="15" hidden="false" customHeight="false" outlineLevel="0" collapsed="false">
      <c r="A830" s="13" t="s">
        <v>245</v>
      </c>
      <c r="B830" s="13" t="n">
        <v>37</v>
      </c>
      <c r="C830" s="17" t="n">
        <f aca="false">B830/100*Notas!$B$3</f>
        <v>35.15</v>
      </c>
      <c r="D830" s="17" t="n">
        <f aca="false">60.21/95*Notas!$B$3</f>
        <v>60.21</v>
      </c>
      <c r="E830" s="17" t="n">
        <f aca="false">11.66/95*Notas!$B$3</f>
        <v>11.66</v>
      </c>
      <c r="F830" s="13" t="n">
        <v>1</v>
      </c>
      <c r="G830" s="17" t="n">
        <f aca="false">60.21/95*Notas!$B$3</f>
        <v>60.21</v>
      </c>
      <c r="H830" s="17" t="n">
        <f aca="false">11.66/95*Notas!$B$3</f>
        <v>11.66</v>
      </c>
      <c r="I830" s="17" t="n">
        <f aca="false">142.62/95*Notas!$B$3</f>
        <v>142.62</v>
      </c>
      <c r="J830" s="17" t="n">
        <f aca="false">142.62/95*Notas!$B$3</f>
        <v>142.62</v>
      </c>
    </row>
    <row r="831" customFormat="false" ht="15" hidden="false" customHeight="false" outlineLevel="0" collapsed="false">
      <c r="A831" s="13" t="s">
        <v>245</v>
      </c>
      <c r="B831" s="13" t="n">
        <v>38</v>
      </c>
      <c r="C831" s="17" t="n">
        <f aca="false">B831/100*Notas!$B$3</f>
        <v>36.1</v>
      </c>
      <c r="D831" s="17" t="n">
        <f aca="false">50.96/95*Notas!$B$3</f>
        <v>50.96</v>
      </c>
      <c r="E831" s="17" t="n">
        <f aca="false">11/95*Notas!$B$3</f>
        <v>11</v>
      </c>
      <c r="F831" s="13" t="n">
        <v>1</v>
      </c>
      <c r="G831" s="17" t="n">
        <f aca="false">50.96/95*Notas!$B$3</f>
        <v>50.96</v>
      </c>
      <c r="H831" s="17" t="n">
        <f aca="false">11/95*Notas!$B$3</f>
        <v>11</v>
      </c>
      <c r="I831" s="17" t="n">
        <f aca="false">123.31/95*Notas!$B$3</f>
        <v>123.31</v>
      </c>
      <c r="J831" s="17" t="n">
        <f aca="false">123.31/95*Notas!$B$3</f>
        <v>123.31</v>
      </c>
    </row>
    <row r="832" customFormat="false" ht="15" hidden="false" customHeight="false" outlineLevel="0" collapsed="false">
      <c r="A832" s="13" t="s">
        <v>245</v>
      </c>
      <c r="B832" s="13" t="n">
        <v>39</v>
      </c>
      <c r="C832" s="17" t="n">
        <f aca="false">B832/100*Notas!$B$3</f>
        <v>37.05</v>
      </c>
      <c r="D832" s="17" t="n">
        <f aca="false">39.34/95*Notas!$B$3</f>
        <v>39.34</v>
      </c>
      <c r="E832" s="17" t="n">
        <f aca="false">10.14/95*Notas!$B$3</f>
        <v>10.14</v>
      </c>
      <c r="F832" s="13" t="n">
        <v>1</v>
      </c>
      <c r="G832" s="17" t="n">
        <f aca="false">39.34/95*Notas!$B$3</f>
        <v>39.34</v>
      </c>
      <c r="H832" s="17" t="n">
        <f aca="false">10.14/95*Notas!$B$3</f>
        <v>10.14</v>
      </c>
      <c r="I832" s="17" t="n">
        <f aca="false">104.55/95*Notas!$B$3</f>
        <v>104.55</v>
      </c>
      <c r="J832" s="17" t="n">
        <f aca="false">104.55/95*Notas!$B$3</f>
        <v>104.55</v>
      </c>
    </row>
    <row r="833" customFormat="false" ht="15" hidden="false" customHeight="false" outlineLevel="0" collapsed="false">
      <c r="A833" s="13" t="s">
        <v>245</v>
      </c>
      <c r="B833" s="13" t="n">
        <v>40</v>
      </c>
      <c r="C833" s="17" t="n">
        <f aca="false">B833/100*Notas!$B$3</f>
        <v>38</v>
      </c>
      <c r="D833" s="17" t="n">
        <f aca="false">37.39/95*Notas!$B$3</f>
        <v>37.39</v>
      </c>
      <c r="E833" s="17" t="n">
        <f aca="false">12.06/95*Notas!$B$3</f>
        <v>12.06</v>
      </c>
      <c r="F833" s="13" t="n">
        <v>3</v>
      </c>
      <c r="G833" s="17" t="n">
        <f aca="false">17.63/95*Notas!$B$3</f>
        <v>17.63</v>
      </c>
      <c r="H833" s="17" t="n">
        <f aca="false">12.06/95*Notas!$B$3</f>
        <v>12.06</v>
      </c>
      <c r="I833" s="17" t="n">
        <f aca="false">53.28/95*Notas!$B$3</f>
        <v>53.28</v>
      </c>
      <c r="J833" s="17" t="n">
        <f aca="false">65.17/95*Notas!$B$3</f>
        <v>65.17</v>
      </c>
    </row>
    <row r="834" customFormat="false" ht="15" hidden="false" customHeight="false" outlineLevel="0" collapsed="false">
      <c r="A834" s="13" t="s">
        <v>245</v>
      </c>
      <c r="B834" s="13" t="n">
        <v>41</v>
      </c>
      <c r="C834" s="17" t="n">
        <f aca="false">B834/100*Notas!$B$3</f>
        <v>38.95</v>
      </c>
      <c r="D834" s="17" t="n">
        <f aca="false">12.45/95*Notas!$B$3</f>
        <v>12.45</v>
      </c>
      <c r="E834" s="17" t="n">
        <f aca="false">15.29/95*Notas!$B$3</f>
        <v>15.29</v>
      </c>
      <c r="F834" s="13" t="n">
        <v>1</v>
      </c>
      <c r="G834" s="17" t="n">
        <f aca="false">12.45/95*Notas!$B$3</f>
        <v>12.45</v>
      </c>
      <c r="H834" s="17" t="n">
        <f aca="false">15.29/95*Notas!$B$3</f>
        <v>15.29</v>
      </c>
      <c r="I834" s="17" t="n">
        <f aca="false">45.16/95*Notas!$B$3</f>
        <v>45.16</v>
      </c>
      <c r="J834" s="17" t="n">
        <f aca="false">45.16/95*Notas!$B$3</f>
        <v>45.16</v>
      </c>
    </row>
    <row r="835" customFormat="false" ht="15" hidden="false" customHeight="false" outlineLevel="0" collapsed="false">
      <c r="A835" s="13" t="s">
        <v>245</v>
      </c>
      <c r="B835" s="13" t="n">
        <v>42</v>
      </c>
      <c r="C835" s="17" t="n">
        <f aca="false">B835/100*Notas!$B$3</f>
        <v>39.9</v>
      </c>
      <c r="D835" s="17" t="n">
        <f aca="false">15.61/95*Notas!$B$3</f>
        <v>15.61</v>
      </c>
      <c r="E835" s="17" t="n">
        <f aca="false">17.82/95*Notas!$B$3</f>
        <v>17.82</v>
      </c>
      <c r="F835" s="13" t="n">
        <v>1</v>
      </c>
      <c r="G835" s="17" t="n">
        <f aca="false">15.61/95*Notas!$B$3</f>
        <v>15.61</v>
      </c>
      <c r="H835" s="17" t="n">
        <f aca="false">17.82/95*Notas!$B$3</f>
        <v>17.82</v>
      </c>
      <c r="I835" s="17" t="n">
        <f aca="false">56.51/95*Notas!$B$3</f>
        <v>56.51</v>
      </c>
      <c r="J835" s="17" t="n">
        <f aca="false">56.51/95*Notas!$B$3</f>
        <v>56.51</v>
      </c>
    </row>
    <row r="836" customFormat="false" ht="15" hidden="false" customHeight="false" outlineLevel="0" collapsed="false">
      <c r="A836" s="13" t="s">
        <v>245</v>
      </c>
      <c r="B836" s="13" t="n">
        <v>43</v>
      </c>
      <c r="C836" s="17" t="n">
        <f aca="false">B836/100*Notas!$B$3</f>
        <v>40.85</v>
      </c>
      <c r="D836" s="17" t="n">
        <f aca="false">18.6/95*Notas!$B$3</f>
        <v>18.6</v>
      </c>
      <c r="E836" s="17" t="n">
        <f aca="false">21.01/95*Notas!$B$3</f>
        <v>21.01</v>
      </c>
      <c r="F836" s="13" t="n">
        <v>2</v>
      </c>
      <c r="G836" s="17" t="n">
        <f aca="false">16.95/95*Notas!$B$3</f>
        <v>16.95</v>
      </c>
      <c r="H836" s="17" t="n">
        <f aca="false">18.98/95*Notas!$B$3</f>
        <v>18.98</v>
      </c>
      <c r="I836" s="17" t="n">
        <f aca="false">61.25/95*Notas!$B$3</f>
        <v>61.25</v>
      </c>
      <c r="J836" s="17" t="n">
        <f aca="false">65.87/95*Notas!$B$3</f>
        <v>65.87</v>
      </c>
    </row>
    <row r="837" customFormat="false" ht="15" hidden="false" customHeight="false" outlineLevel="0" collapsed="false">
      <c r="A837" s="13" t="s">
        <v>245</v>
      </c>
      <c r="B837" s="13" t="n">
        <v>44</v>
      </c>
      <c r="C837" s="17" t="n">
        <f aca="false">B837/100*Notas!$B$3</f>
        <v>41.8</v>
      </c>
      <c r="D837" s="17" t="n">
        <f aca="false">20/95*Notas!$B$3</f>
        <v>20</v>
      </c>
      <c r="E837" s="17" t="n">
        <f aca="false">21.07/95*Notas!$B$3</f>
        <v>21.07</v>
      </c>
      <c r="F837" s="13" t="n">
        <v>3</v>
      </c>
      <c r="G837" s="17" t="n">
        <f aca="false">18.06/95*Notas!$B$3</f>
        <v>18.06</v>
      </c>
      <c r="H837" s="17" t="n">
        <f aca="false">19.78/95*Notas!$B$3</f>
        <v>19.78</v>
      </c>
      <c r="I837" s="17" t="n">
        <f aca="false">64.6/95*Notas!$B$3</f>
        <v>64.6</v>
      </c>
      <c r="J837" s="17" t="n">
        <f aca="false">69.14/95*Notas!$B$3</f>
        <v>69.14</v>
      </c>
    </row>
    <row r="838" customFormat="false" ht="15" hidden="false" customHeight="false" outlineLevel="0" collapsed="false">
      <c r="A838" s="13" t="s">
        <v>245</v>
      </c>
      <c r="B838" s="13" t="n">
        <v>45</v>
      </c>
      <c r="C838" s="17" t="n">
        <f aca="false">B838/100*Notas!$B$3</f>
        <v>42.75</v>
      </c>
      <c r="D838" s="17" t="n">
        <f aca="false">21.93/95*Notas!$B$3</f>
        <v>21.93</v>
      </c>
      <c r="E838" s="17" t="n">
        <f aca="false">22.05/95*Notas!$B$3</f>
        <v>22.05</v>
      </c>
      <c r="F838" s="13" t="n">
        <v>4</v>
      </c>
      <c r="G838" s="17" t="n">
        <f aca="false">18.61/95*Notas!$B$3</f>
        <v>18.61</v>
      </c>
      <c r="H838" s="17" t="n">
        <f aca="false">20.51/95*Notas!$B$3</f>
        <v>20.51</v>
      </c>
      <c r="I838" s="17" t="n">
        <f aca="false">66.61/95*Notas!$B$3</f>
        <v>66.61</v>
      </c>
      <c r="J838" s="17" t="n">
        <f aca="false">76.25/95*Notas!$B$3</f>
        <v>76.25</v>
      </c>
    </row>
    <row r="839" customFormat="false" ht="15" hidden="false" customHeight="false" outlineLevel="0" collapsed="false">
      <c r="A839" s="13" t="s">
        <v>245</v>
      </c>
      <c r="B839" s="13" t="n">
        <v>46</v>
      </c>
      <c r="C839" s="17" t="n">
        <f aca="false">B839/100*Notas!$B$3</f>
        <v>43.7</v>
      </c>
      <c r="D839" s="17" t="n">
        <f aca="false">26.5/95*Notas!$B$3</f>
        <v>26.5</v>
      </c>
      <c r="E839" s="17" t="n">
        <f aca="false">22.92/95*Notas!$B$3</f>
        <v>22.92</v>
      </c>
      <c r="F839" s="13" t="n">
        <v>3</v>
      </c>
      <c r="G839" s="17" t="n">
        <f aca="false">26.5/95*Notas!$B$3</f>
        <v>26.5</v>
      </c>
      <c r="H839" s="17" t="n">
        <f aca="false">22.91/95*Notas!$B$3</f>
        <v>22.91</v>
      </c>
      <c r="I839" s="17" t="n">
        <f aca="false">85.88/95*Notas!$B$3</f>
        <v>85.88</v>
      </c>
      <c r="J839" s="17" t="n">
        <f aca="false">97.64/95*Notas!$B$3</f>
        <v>97.64</v>
      </c>
    </row>
    <row r="840" customFormat="false" ht="15" hidden="false" customHeight="false" outlineLevel="0" collapsed="false">
      <c r="A840" s="13" t="s">
        <v>245</v>
      </c>
      <c r="B840" s="13" t="n">
        <v>47</v>
      </c>
      <c r="C840" s="17" t="n">
        <f aca="false">B840/100*Notas!$B$3</f>
        <v>44.65</v>
      </c>
      <c r="D840" s="17" t="n">
        <f aca="false">27.8/95*Notas!$B$3</f>
        <v>27.8</v>
      </c>
      <c r="E840" s="17" t="n">
        <f aca="false">23.84/95*Notas!$B$3</f>
        <v>23.84</v>
      </c>
      <c r="F840" s="13" t="n">
        <v>3</v>
      </c>
      <c r="G840" s="17" t="n">
        <f aca="false">27.8/95*Notas!$B$3</f>
        <v>27.8</v>
      </c>
      <c r="H840" s="17" t="n">
        <f aca="false">23.79/95*Notas!$B$3</f>
        <v>23.79</v>
      </c>
      <c r="I840" s="17" t="n">
        <f aca="false">89.13/95*Notas!$B$3</f>
        <v>89.13</v>
      </c>
      <c r="J840" s="17" t="n">
        <f aca="false">103.71/95*Notas!$B$3</f>
        <v>103.71</v>
      </c>
    </row>
    <row r="841" customFormat="false" ht="15" hidden="false" customHeight="false" outlineLevel="0" collapsed="false">
      <c r="A841" s="13" t="s">
        <v>245</v>
      </c>
      <c r="B841" s="13" t="n">
        <v>48</v>
      </c>
      <c r="C841" s="17" t="n">
        <f aca="false">B841/100*Notas!$B$3</f>
        <v>45.6</v>
      </c>
      <c r="D841" s="17" t="n">
        <f aca="false">28.09/95*Notas!$B$3</f>
        <v>28.09</v>
      </c>
      <c r="E841" s="17" t="n">
        <f aca="false">24.57/95*Notas!$B$3</f>
        <v>24.57</v>
      </c>
      <c r="F841" s="13" t="n">
        <v>3</v>
      </c>
      <c r="G841" s="17" t="n">
        <f aca="false">28.09/95*Notas!$B$3</f>
        <v>28.09</v>
      </c>
      <c r="H841" s="17" t="n">
        <f aca="false">23.58/95*Notas!$B$3</f>
        <v>23.58</v>
      </c>
      <c r="I841" s="17" t="n">
        <f aca="false">89.56/95*Notas!$B$3</f>
        <v>89.56</v>
      </c>
      <c r="J841" s="17" t="n">
        <f aca="false">106.7/95*Notas!$B$3</f>
        <v>106.7</v>
      </c>
    </row>
    <row r="842" customFormat="false" ht="15" hidden="false" customHeight="false" outlineLevel="0" collapsed="false">
      <c r="A842" s="13" t="s">
        <v>245</v>
      </c>
      <c r="B842" s="13" t="n">
        <v>49</v>
      </c>
      <c r="C842" s="17" t="n">
        <f aca="false">B842/100*Notas!$B$3</f>
        <v>46.55</v>
      </c>
      <c r="D842" s="17" t="n">
        <f aca="false">28.28/95*Notas!$B$3</f>
        <v>28.28</v>
      </c>
      <c r="E842" s="17" t="n">
        <f aca="false">25.2/95*Notas!$B$3</f>
        <v>25.2</v>
      </c>
      <c r="F842" s="13" t="n">
        <v>3</v>
      </c>
      <c r="G842" s="17" t="n">
        <f aca="false">28.28/95*Notas!$B$3</f>
        <v>28.28</v>
      </c>
      <c r="H842" s="17" t="n">
        <f aca="false">22.67/95*Notas!$B$3</f>
        <v>22.67</v>
      </c>
      <c r="I842" s="17" t="n">
        <f aca="false">88.57/95*Notas!$B$3</f>
        <v>88.57</v>
      </c>
      <c r="J842" s="17" t="n">
        <f aca="false">108.48/95*Notas!$B$3</f>
        <v>108.48</v>
      </c>
    </row>
    <row r="843" customFormat="false" ht="15" hidden="false" customHeight="false" outlineLevel="0" collapsed="false">
      <c r="A843" s="13" t="s">
        <v>245</v>
      </c>
      <c r="B843" s="13" t="n">
        <v>50</v>
      </c>
      <c r="C843" s="17" t="n">
        <f aca="false">B843/100*Notas!$B$3</f>
        <v>47.5</v>
      </c>
      <c r="D843" s="17" t="n">
        <f aca="false">28.35/95*Notas!$B$3</f>
        <v>28.35</v>
      </c>
      <c r="E843" s="17" t="n">
        <f aca="false">25.63/95*Notas!$B$3</f>
        <v>25.63</v>
      </c>
      <c r="F843" s="13" t="n">
        <v>3</v>
      </c>
      <c r="G843" s="17" t="n">
        <f aca="false">28.35/95*Notas!$B$3</f>
        <v>28.35</v>
      </c>
      <c r="H843" s="17" t="n">
        <f aca="false">22.4/95*Notas!$B$3</f>
        <v>22.4</v>
      </c>
      <c r="I843" s="17" t="n">
        <f aca="false">88.46/95*Notas!$B$3</f>
        <v>88.46</v>
      </c>
      <c r="J843" s="17" t="n">
        <f aca="false">110.91/95*Notas!$B$3</f>
        <v>110.91</v>
      </c>
    </row>
    <row r="844" customFormat="false" ht="15" hidden="false" customHeight="false" outlineLevel="0" collapsed="false">
      <c r="A844" s="13" t="s">
        <v>245</v>
      </c>
      <c r="B844" s="13" t="n">
        <v>51</v>
      </c>
      <c r="C844" s="17" t="n">
        <f aca="false">B844/100*Notas!$B$3</f>
        <v>48.45</v>
      </c>
      <c r="D844" s="17" t="n">
        <f aca="false">28.31/95*Notas!$B$3</f>
        <v>28.31</v>
      </c>
      <c r="E844" s="17" t="n">
        <f aca="false">26.11/95*Notas!$B$3</f>
        <v>26.11</v>
      </c>
      <c r="F844" s="13" t="n">
        <v>3</v>
      </c>
      <c r="G844" s="17" t="n">
        <f aca="false">28.31/95*Notas!$B$3</f>
        <v>28.31</v>
      </c>
      <c r="H844" s="17" t="n">
        <f aca="false">22.4/95*Notas!$B$3</f>
        <v>22.4</v>
      </c>
      <c r="I844" s="17" t="n">
        <f aca="false">89.86/95*Notas!$B$3</f>
        <v>89.86</v>
      </c>
      <c r="J844" s="17" t="n">
        <f aca="false">114.63/95*Notas!$B$3</f>
        <v>114.63</v>
      </c>
    </row>
    <row r="845" customFormat="false" ht="15" hidden="false" customHeight="false" outlineLevel="0" collapsed="false">
      <c r="A845" s="13" t="s">
        <v>245</v>
      </c>
      <c r="B845" s="13" t="n">
        <v>52</v>
      </c>
      <c r="C845" s="17" t="n">
        <f aca="false">B845/100*Notas!$B$3</f>
        <v>49.4</v>
      </c>
      <c r="D845" s="17" t="n">
        <f aca="false">28.27/95*Notas!$B$3</f>
        <v>28.27</v>
      </c>
      <c r="E845" s="17" t="n">
        <f aca="false">26.55/95*Notas!$B$3</f>
        <v>26.55</v>
      </c>
      <c r="F845" s="13" t="n">
        <v>3</v>
      </c>
      <c r="G845" s="17" t="n">
        <f aca="false">28.27/95*Notas!$B$3</f>
        <v>28.27</v>
      </c>
      <c r="H845" s="17" t="n">
        <f aca="false">22.47/95*Notas!$B$3</f>
        <v>22.47</v>
      </c>
      <c r="I845" s="17" t="n">
        <f aca="false">90.74/95*Notas!$B$3</f>
        <v>90.74</v>
      </c>
      <c r="J845" s="17" t="n">
        <f aca="false">117.73/95*Notas!$B$3</f>
        <v>117.73</v>
      </c>
    </row>
    <row r="846" customFormat="false" ht="15" hidden="false" customHeight="false" outlineLevel="0" collapsed="false">
      <c r="A846" s="13" t="s">
        <v>245</v>
      </c>
      <c r="B846" s="13" t="n">
        <v>53</v>
      </c>
      <c r="C846" s="17" t="n">
        <f aca="false">B846/100*Notas!$B$3</f>
        <v>50.35</v>
      </c>
      <c r="D846" s="17" t="n">
        <f aca="false">27.88/95*Notas!$B$3</f>
        <v>27.88</v>
      </c>
      <c r="E846" s="17" t="n">
        <f aca="false">26.88/95*Notas!$B$3</f>
        <v>26.88</v>
      </c>
      <c r="F846" s="13" t="n">
        <v>4</v>
      </c>
      <c r="G846" s="17" t="n">
        <f aca="false">27.66/95*Notas!$B$3</f>
        <v>27.66</v>
      </c>
      <c r="H846" s="17" t="n">
        <f aca="false">22.49/95*Notas!$B$3</f>
        <v>22.49</v>
      </c>
      <c r="I846" s="17" t="n">
        <f aca="false">87.61/95*Notas!$B$3</f>
        <v>87.61</v>
      </c>
      <c r="J846" s="17" t="n">
        <f aca="false">122.87/95*Notas!$B$3</f>
        <v>122.87</v>
      </c>
    </row>
    <row r="847" customFormat="false" ht="15" hidden="false" customHeight="false" outlineLevel="0" collapsed="false">
      <c r="A847" s="13" t="s">
        <v>245</v>
      </c>
      <c r="B847" s="13" t="n">
        <v>54</v>
      </c>
      <c r="C847" s="17" t="n">
        <f aca="false">B847/100*Notas!$B$3</f>
        <v>51.3</v>
      </c>
      <c r="D847" s="17" t="n">
        <f aca="false">27.21/95*Notas!$B$3</f>
        <v>27.21</v>
      </c>
      <c r="E847" s="17" t="n">
        <f aca="false">27.74/95*Notas!$B$3</f>
        <v>27.74</v>
      </c>
      <c r="F847" s="13" t="n">
        <v>3</v>
      </c>
      <c r="G847" s="17" t="n">
        <f aca="false">27.13/95*Notas!$B$3</f>
        <v>27.13</v>
      </c>
      <c r="H847" s="17" t="n">
        <f aca="false">23.18/95*Notas!$B$3</f>
        <v>23.18</v>
      </c>
      <c r="I847" s="17" t="n">
        <f aca="false">87.97/95*Notas!$B$3</f>
        <v>87.97</v>
      </c>
      <c r="J847" s="17" t="n">
        <f aca="false">118.87/95*Notas!$B$3</f>
        <v>118.87</v>
      </c>
    </row>
    <row r="848" customFormat="false" ht="15" hidden="false" customHeight="false" outlineLevel="0" collapsed="false">
      <c r="A848" s="13" t="s">
        <v>245</v>
      </c>
      <c r="B848" s="13" t="n">
        <v>55</v>
      </c>
      <c r="C848" s="17" t="n">
        <f aca="false">B848/100*Notas!$B$3</f>
        <v>52.25</v>
      </c>
      <c r="D848" s="17" t="n">
        <f aca="false">27.36/95*Notas!$B$3</f>
        <v>27.36</v>
      </c>
      <c r="E848" s="17" t="n">
        <f aca="false">28.63/95*Notas!$B$3</f>
        <v>28.63</v>
      </c>
      <c r="F848" s="13" t="n">
        <v>3</v>
      </c>
      <c r="G848" s="17" t="n">
        <f aca="false">27.36/95*Notas!$B$3</f>
        <v>27.36</v>
      </c>
      <c r="H848" s="17" t="n">
        <f aca="false">23.98/95*Notas!$B$3</f>
        <v>23.98</v>
      </c>
      <c r="I848" s="17" t="n">
        <f aca="false">90.1/95*Notas!$B$3</f>
        <v>90.1</v>
      </c>
      <c r="J848" s="17" t="n">
        <f aca="false">122.36/95*Notas!$B$3</f>
        <v>122.36</v>
      </c>
    </row>
    <row r="849" customFormat="false" ht="15" hidden="false" customHeight="false" outlineLevel="0" collapsed="false">
      <c r="A849" s="13" t="s">
        <v>245</v>
      </c>
      <c r="B849" s="13" t="n">
        <v>56</v>
      </c>
      <c r="C849" s="17" t="n">
        <f aca="false">B849/100*Notas!$B$3</f>
        <v>53.2</v>
      </c>
      <c r="D849" s="17" t="n">
        <f aca="false">27.42/95*Notas!$B$3</f>
        <v>27.42</v>
      </c>
      <c r="E849" s="17" t="n">
        <f aca="false">29.28/95*Notas!$B$3</f>
        <v>29.28</v>
      </c>
      <c r="F849" s="13" t="n">
        <v>3</v>
      </c>
      <c r="G849" s="17" t="n">
        <f aca="false">27.42/95*Notas!$B$3</f>
        <v>27.42</v>
      </c>
      <c r="H849" s="17" t="n">
        <f aca="false">24.68/95*Notas!$B$3</f>
        <v>24.68</v>
      </c>
      <c r="I849" s="17" t="n">
        <f aca="false">92.12/95*Notas!$B$3</f>
        <v>92.12</v>
      </c>
      <c r="J849" s="17" t="n">
        <f aca="false">125.63/95*Notas!$B$3</f>
        <v>125.63</v>
      </c>
    </row>
    <row r="850" customFormat="false" ht="15" hidden="false" customHeight="false" outlineLevel="0" collapsed="false">
      <c r="A850" s="13" t="s">
        <v>245</v>
      </c>
      <c r="B850" s="13" t="n">
        <v>57</v>
      </c>
      <c r="C850" s="17" t="n">
        <f aca="false">B850/100*Notas!$B$3</f>
        <v>54.15</v>
      </c>
      <c r="D850" s="17" t="n">
        <f aca="false">27.48/95*Notas!$B$3</f>
        <v>27.48</v>
      </c>
      <c r="E850" s="17" t="n">
        <f aca="false">29.94/95*Notas!$B$3</f>
        <v>29.94</v>
      </c>
      <c r="F850" s="13" t="n">
        <v>1</v>
      </c>
      <c r="G850" s="17" t="n">
        <f aca="false">27.48/95*Notas!$B$3</f>
        <v>27.48</v>
      </c>
      <c r="H850" s="17" t="n">
        <f aca="false">29.94/95*Notas!$B$3</f>
        <v>29.94</v>
      </c>
      <c r="I850" s="17" t="n">
        <f aca="false">124.11/95*Notas!$B$3</f>
        <v>124.11</v>
      </c>
      <c r="J850" s="17" t="n">
        <f aca="false">124.11/95*Notas!$B$3</f>
        <v>124.11</v>
      </c>
    </row>
    <row r="851" customFormat="false" ht="15" hidden="false" customHeight="false" outlineLevel="0" collapsed="false">
      <c r="A851" s="13" t="s">
        <v>245</v>
      </c>
      <c r="B851" s="13" t="n">
        <v>58</v>
      </c>
      <c r="C851" s="17" t="n">
        <f aca="false">B851/100*Notas!$B$3</f>
        <v>55.1</v>
      </c>
      <c r="D851" s="17" t="n">
        <f aca="false">27.35/95*Notas!$B$3</f>
        <v>27.35</v>
      </c>
      <c r="E851" s="17" t="n">
        <f aca="false">30.54/95*Notas!$B$3</f>
        <v>30.54</v>
      </c>
      <c r="F851" s="13" t="n">
        <v>1</v>
      </c>
      <c r="G851" s="17" t="n">
        <f aca="false">27.35/95*Notas!$B$3</f>
        <v>27.35</v>
      </c>
      <c r="H851" s="17" t="n">
        <f aca="false">30.54/95*Notas!$B$3</f>
        <v>30.54</v>
      </c>
      <c r="I851" s="17" t="n">
        <f aca="false">126.16/95*Notas!$B$3</f>
        <v>126.16</v>
      </c>
      <c r="J851" s="17" t="n">
        <f aca="false">126.16/95*Notas!$B$3</f>
        <v>126.16</v>
      </c>
    </row>
    <row r="852" customFormat="false" ht="15" hidden="false" customHeight="false" outlineLevel="0" collapsed="false">
      <c r="A852" s="13" t="s">
        <v>245</v>
      </c>
      <c r="B852" s="13" t="n">
        <v>59</v>
      </c>
      <c r="C852" s="17" t="n">
        <f aca="false">B852/100*Notas!$B$3</f>
        <v>56.05</v>
      </c>
      <c r="D852" s="17" t="n">
        <f aca="false">28.38/95*Notas!$B$3</f>
        <v>28.38</v>
      </c>
      <c r="E852" s="17" t="n">
        <f aca="false">30.94/95*Notas!$B$3</f>
        <v>30.94</v>
      </c>
      <c r="F852" s="13" t="n">
        <v>2</v>
      </c>
      <c r="G852" s="17" t="n">
        <f aca="false">27.6/95*Notas!$B$3</f>
        <v>27.6</v>
      </c>
      <c r="H852" s="17" t="n">
        <f aca="false">30.94/95*Notas!$B$3</f>
        <v>30.94</v>
      </c>
      <c r="I852" s="17" t="n">
        <f aca="false">119.84/95*Notas!$B$3</f>
        <v>119.84</v>
      </c>
      <c r="J852" s="17" t="n">
        <f aca="false">128.2/95*Notas!$B$3</f>
        <v>128.2</v>
      </c>
    </row>
    <row r="853" customFormat="false" ht="15" hidden="false" customHeight="false" outlineLevel="0" collapsed="false">
      <c r="A853" s="13" t="s">
        <v>245</v>
      </c>
      <c r="B853" s="13" t="n">
        <v>60</v>
      </c>
      <c r="C853" s="17" t="n">
        <f aca="false">B853/100*Notas!$B$3</f>
        <v>57</v>
      </c>
      <c r="D853" s="17" t="n">
        <f aca="false">29.42/95*Notas!$B$3</f>
        <v>29.42</v>
      </c>
      <c r="E853" s="17" t="n">
        <f aca="false">30.79/95*Notas!$B$3</f>
        <v>30.79</v>
      </c>
      <c r="F853" s="13" t="n">
        <v>1</v>
      </c>
      <c r="G853" s="17" t="n">
        <f aca="false">29.42/95*Notas!$B$3</f>
        <v>29.42</v>
      </c>
      <c r="H853" s="17" t="n">
        <f aca="false">30.79/95*Notas!$B$3</f>
        <v>30.79</v>
      </c>
      <c r="I853" s="17" t="n">
        <f aca="false">132/95*Notas!$B$3</f>
        <v>132</v>
      </c>
      <c r="J853" s="17" t="n">
        <f aca="false">132/95*Notas!$B$3</f>
        <v>132</v>
      </c>
    </row>
    <row r="854" customFormat="false" ht="15" hidden="false" customHeight="false" outlineLevel="0" collapsed="false">
      <c r="A854" s="13" t="s">
        <v>245</v>
      </c>
      <c r="B854" s="13" t="n">
        <v>61</v>
      </c>
      <c r="C854" s="17" t="n">
        <f aca="false">B854/100*Notas!$B$3</f>
        <v>57.95</v>
      </c>
      <c r="D854" s="17" t="n">
        <f aca="false">30.27/95*Notas!$B$3</f>
        <v>30.27</v>
      </c>
      <c r="E854" s="17" t="n">
        <f aca="false">30.89/95*Notas!$B$3</f>
        <v>30.89</v>
      </c>
      <c r="F854" s="13" t="n">
        <v>1</v>
      </c>
      <c r="G854" s="17" t="n">
        <f aca="false">30.27/95*Notas!$B$3</f>
        <v>30.27</v>
      </c>
      <c r="H854" s="17" t="n">
        <f aca="false">30.89/95*Notas!$B$3</f>
        <v>30.89</v>
      </c>
      <c r="I854" s="17" t="n">
        <f aca="false">134.02/95*Notas!$B$3</f>
        <v>134.02</v>
      </c>
      <c r="J854" s="17" t="n">
        <f aca="false">134.02/95*Notas!$B$3</f>
        <v>134.02</v>
      </c>
    </row>
    <row r="855" customFormat="false" ht="15" hidden="false" customHeight="false" outlineLevel="0" collapsed="false">
      <c r="A855" s="13" t="s">
        <v>245</v>
      </c>
      <c r="B855" s="13" t="n">
        <v>62</v>
      </c>
      <c r="C855" s="17" t="n">
        <f aca="false">B855/100*Notas!$B$3</f>
        <v>58.9</v>
      </c>
      <c r="D855" s="17" t="n">
        <f aca="false">30.81/95*Notas!$B$3</f>
        <v>30.81</v>
      </c>
      <c r="E855" s="17" t="n">
        <f aca="false">30.57/95*Notas!$B$3</f>
        <v>30.57</v>
      </c>
      <c r="F855" s="13" t="n">
        <v>1</v>
      </c>
      <c r="G855" s="17" t="n">
        <f aca="false">30.81/95*Notas!$B$3</f>
        <v>30.81</v>
      </c>
      <c r="H855" s="17" t="n">
        <f aca="false">30.57/95*Notas!$B$3</f>
        <v>30.57</v>
      </c>
      <c r="I855" s="17" t="n">
        <f aca="false">137.79/95*Notas!$B$3</f>
        <v>137.79</v>
      </c>
      <c r="J855" s="17" t="n">
        <f aca="false">137.79/95*Notas!$B$3</f>
        <v>137.79</v>
      </c>
    </row>
    <row r="856" customFormat="false" ht="15" hidden="false" customHeight="false" outlineLevel="0" collapsed="false">
      <c r="A856" s="13" t="s">
        <v>245</v>
      </c>
      <c r="B856" s="13" t="n">
        <v>63</v>
      </c>
      <c r="C856" s="17" t="n">
        <f aca="false">B856/100*Notas!$B$3</f>
        <v>59.85</v>
      </c>
      <c r="D856" s="17" t="n">
        <f aca="false">31.1/95*Notas!$B$3</f>
        <v>31.1</v>
      </c>
      <c r="E856" s="17" t="n">
        <f aca="false">30.13/95*Notas!$B$3</f>
        <v>30.13</v>
      </c>
      <c r="F856" s="13" t="n">
        <v>1</v>
      </c>
      <c r="G856" s="17" t="n">
        <f aca="false">31.1/95*Notas!$B$3</f>
        <v>31.1</v>
      </c>
      <c r="H856" s="17" t="n">
        <f aca="false">30.13/95*Notas!$B$3</f>
        <v>30.13</v>
      </c>
      <c r="I856" s="17" t="n">
        <f aca="false">141/95*Notas!$B$3</f>
        <v>141</v>
      </c>
      <c r="J856" s="17" t="n">
        <f aca="false">141/95*Notas!$B$3</f>
        <v>141</v>
      </c>
    </row>
    <row r="857" customFormat="false" ht="15" hidden="false" customHeight="false" outlineLevel="0" collapsed="false">
      <c r="A857" s="13" t="s">
        <v>245</v>
      </c>
      <c r="B857" s="13" t="n">
        <v>64</v>
      </c>
      <c r="C857" s="17" t="n">
        <f aca="false">B857/100*Notas!$B$3</f>
        <v>60.8</v>
      </c>
      <c r="D857" s="17" t="n">
        <f aca="false">31.23/95*Notas!$B$3</f>
        <v>31.23</v>
      </c>
      <c r="E857" s="17" t="n">
        <f aca="false">29.56/95*Notas!$B$3</f>
        <v>29.56</v>
      </c>
      <c r="F857" s="13" t="n">
        <v>2</v>
      </c>
      <c r="G857" s="17" t="n">
        <f aca="false">31.23/95*Notas!$B$3</f>
        <v>31.23</v>
      </c>
      <c r="H857" s="17" t="n">
        <f aca="false">29.56/95*Notas!$B$3</f>
        <v>29.56</v>
      </c>
      <c r="I857" s="17" t="n">
        <f aca="false">131.82/95*Notas!$B$3</f>
        <v>131.82</v>
      </c>
      <c r="J857" s="17" t="n">
        <f aca="false">142.06/95*Notas!$B$3</f>
        <v>142.06</v>
      </c>
    </row>
    <row r="858" customFormat="false" ht="15" hidden="false" customHeight="false" outlineLevel="0" collapsed="false">
      <c r="A858" s="13" t="s">
        <v>245</v>
      </c>
      <c r="B858" s="13" t="n">
        <v>65</v>
      </c>
      <c r="C858" s="17" t="n">
        <f aca="false">B858/100*Notas!$B$3</f>
        <v>61.75</v>
      </c>
      <c r="D858" s="17" t="n">
        <f aca="false">31.11/95*Notas!$B$3</f>
        <v>31.11</v>
      </c>
      <c r="E858" s="17" t="n">
        <f aca="false">28.82/95*Notas!$B$3</f>
        <v>28.82</v>
      </c>
      <c r="F858" s="13" t="n">
        <v>2</v>
      </c>
      <c r="G858" s="17" t="n">
        <f aca="false">31.11/95*Notas!$B$3</f>
        <v>31.11</v>
      </c>
      <c r="H858" s="17" t="n">
        <f aca="false">28.82/95*Notas!$B$3</f>
        <v>28.82</v>
      </c>
      <c r="I858" s="17" t="n">
        <f aca="false">131.91/95*Notas!$B$3</f>
        <v>131.91</v>
      </c>
      <c r="J858" s="17" t="n">
        <f aca="false">140.15/95*Notas!$B$3</f>
        <v>140.15</v>
      </c>
    </row>
    <row r="859" customFormat="false" ht="15" hidden="false" customHeight="false" outlineLevel="0" collapsed="false">
      <c r="A859" s="13" t="s">
        <v>245</v>
      </c>
      <c r="B859" s="13" t="n">
        <v>66</v>
      </c>
      <c r="C859" s="17" t="n">
        <f aca="false">B859/100*Notas!$B$3</f>
        <v>62.7</v>
      </c>
      <c r="D859" s="17" t="n">
        <f aca="false">30.94/95*Notas!$B$3</f>
        <v>30.94</v>
      </c>
      <c r="E859" s="17" t="n">
        <f aca="false">27.86/95*Notas!$B$3</f>
        <v>27.86</v>
      </c>
      <c r="F859" s="13" t="n">
        <v>1</v>
      </c>
      <c r="G859" s="17" t="n">
        <f aca="false">30.94/95*Notas!$B$3</f>
        <v>30.94</v>
      </c>
      <c r="H859" s="17" t="n">
        <f aca="false">27.86/95*Notas!$B$3</f>
        <v>27.86</v>
      </c>
      <c r="I859" s="17" t="n">
        <f aca="false">124.52/95*Notas!$B$3</f>
        <v>124.52</v>
      </c>
      <c r="J859" s="17" t="n">
        <f aca="false">124.52/95*Notas!$B$3</f>
        <v>124.52</v>
      </c>
    </row>
    <row r="860" customFormat="false" ht="15" hidden="false" customHeight="false" outlineLevel="0" collapsed="false">
      <c r="A860" s="13" t="s">
        <v>245</v>
      </c>
      <c r="B860" s="13" t="n">
        <v>67</v>
      </c>
      <c r="C860" s="17" t="n">
        <f aca="false">B860/100*Notas!$B$3</f>
        <v>63.65</v>
      </c>
      <c r="D860" s="17" t="n">
        <f aca="false">30.49/95*Notas!$B$3</f>
        <v>30.49</v>
      </c>
      <c r="E860" s="17" t="n">
        <f aca="false">27.64/95*Notas!$B$3</f>
        <v>27.64</v>
      </c>
      <c r="F860" s="13" t="n">
        <v>1</v>
      </c>
      <c r="G860" s="17" t="n">
        <f aca="false">30.49/95*Notas!$B$3</f>
        <v>30.49</v>
      </c>
      <c r="H860" s="17" t="n">
        <f aca="false">27.64/95*Notas!$B$3</f>
        <v>27.64</v>
      </c>
      <c r="I860" s="17" t="n">
        <f aca="false">123.09/95*Notas!$B$3</f>
        <v>123.09</v>
      </c>
      <c r="J860" s="17" t="n">
        <f aca="false">123.09/95*Notas!$B$3</f>
        <v>123.09</v>
      </c>
    </row>
    <row r="861" customFormat="false" ht="15" hidden="false" customHeight="false" outlineLevel="0" collapsed="false">
      <c r="A861" s="13" t="s">
        <v>245</v>
      </c>
      <c r="B861" s="13" t="n">
        <v>68</v>
      </c>
      <c r="C861" s="17" t="n">
        <f aca="false">B861/100*Notas!$B$3</f>
        <v>64.6</v>
      </c>
      <c r="D861" s="17" t="n">
        <f aca="false">29.38/95*Notas!$B$3</f>
        <v>29.38</v>
      </c>
      <c r="E861" s="17" t="n">
        <f aca="false">27.75/95*Notas!$B$3</f>
        <v>27.75</v>
      </c>
      <c r="F861" s="13" t="n">
        <v>1</v>
      </c>
      <c r="G861" s="17" t="n">
        <f aca="false">29.38/95*Notas!$B$3</f>
        <v>29.38</v>
      </c>
      <c r="H861" s="17" t="n">
        <f aca="false">27.75/95*Notas!$B$3</f>
        <v>27.75</v>
      </c>
      <c r="I861" s="17" t="n">
        <f aca="false">120.09/95*Notas!$B$3</f>
        <v>120.09</v>
      </c>
      <c r="J861" s="17" t="n">
        <f aca="false">120.09/95*Notas!$B$3</f>
        <v>120.09</v>
      </c>
    </row>
    <row r="862" customFormat="false" ht="15" hidden="false" customHeight="false" outlineLevel="0" collapsed="false">
      <c r="A862" s="13" t="s">
        <v>245</v>
      </c>
      <c r="B862" s="13" t="n">
        <v>69</v>
      </c>
      <c r="C862" s="17" t="n">
        <f aca="false">B862/100*Notas!$B$3</f>
        <v>65.55</v>
      </c>
      <c r="D862" s="17" t="n">
        <f aca="false">28.13/95*Notas!$B$3</f>
        <v>28.13</v>
      </c>
      <c r="E862" s="17" t="n">
        <f aca="false">27.46/95*Notas!$B$3</f>
        <v>27.46</v>
      </c>
      <c r="F862" s="13" t="n">
        <v>1</v>
      </c>
      <c r="G862" s="17" t="n">
        <f aca="false">28.13/95*Notas!$B$3</f>
        <v>28.13</v>
      </c>
      <c r="H862" s="17" t="n">
        <f aca="false">27.46/95*Notas!$B$3</f>
        <v>27.46</v>
      </c>
      <c r="I862" s="17" t="n">
        <f aca="false">114.24/95*Notas!$B$3</f>
        <v>114.24</v>
      </c>
      <c r="J862" s="17" t="n">
        <f aca="false">114.24/95*Notas!$B$3</f>
        <v>114.24</v>
      </c>
    </row>
    <row r="863" customFormat="false" ht="15" hidden="false" customHeight="false" outlineLevel="0" collapsed="false">
      <c r="A863" s="13" t="s">
        <v>245</v>
      </c>
      <c r="B863" s="13" t="n">
        <v>70</v>
      </c>
      <c r="C863" s="17" t="n">
        <f aca="false">B863/100*Notas!$B$3</f>
        <v>66.5</v>
      </c>
      <c r="D863" s="17" t="n">
        <f aca="false">26.87/95*Notas!$B$3</f>
        <v>26.87</v>
      </c>
      <c r="E863" s="17" t="n">
        <f aca="false">26.96/95*Notas!$B$3</f>
        <v>26.96</v>
      </c>
      <c r="F863" s="13" t="n">
        <v>2</v>
      </c>
      <c r="G863" s="17" t="n">
        <f aca="false">26.87/95*Notas!$B$3</f>
        <v>26.87</v>
      </c>
      <c r="H863" s="17" t="n">
        <f aca="false">26.96/95*Notas!$B$3</f>
        <v>26.96</v>
      </c>
      <c r="I863" s="17" t="n">
        <f aca="false">103.77/95*Notas!$B$3</f>
        <v>103.77</v>
      </c>
      <c r="J863" s="17" t="n">
        <f aca="false">104.95/95*Notas!$B$3</f>
        <v>104.95</v>
      </c>
    </row>
    <row r="864" customFormat="false" ht="15" hidden="false" customHeight="false" outlineLevel="0" collapsed="false">
      <c r="A864" s="13" t="s">
        <v>245</v>
      </c>
      <c r="B864" s="13" t="n">
        <v>71</v>
      </c>
      <c r="C864" s="17" t="n">
        <f aca="false">B864/100*Notas!$B$3</f>
        <v>67.45</v>
      </c>
      <c r="D864" s="17" t="n">
        <f aca="false">25.62/95*Notas!$B$3</f>
        <v>25.62</v>
      </c>
      <c r="E864" s="17" t="n">
        <f aca="false">25.92/95*Notas!$B$3</f>
        <v>25.92</v>
      </c>
      <c r="F864" s="13" t="n">
        <v>1</v>
      </c>
      <c r="G864" s="17" t="n">
        <f aca="false">25.62/95*Notas!$B$3</f>
        <v>25.62</v>
      </c>
      <c r="H864" s="17" t="n">
        <f aca="false">25.92/95*Notas!$B$3</f>
        <v>25.92</v>
      </c>
      <c r="I864" s="17" t="n">
        <f aca="false">99.08/95*Notas!$B$3</f>
        <v>99.08</v>
      </c>
      <c r="J864" s="17" t="n">
        <f aca="false">99.08/95*Notas!$B$3</f>
        <v>99.08</v>
      </c>
    </row>
    <row r="865" customFormat="false" ht="15" hidden="false" customHeight="false" outlineLevel="0" collapsed="false">
      <c r="A865" s="13" t="s">
        <v>245</v>
      </c>
      <c r="B865" s="13" t="n">
        <v>72</v>
      </c>
      <c r="C865" s="17" t="n">
        <f aca="false">B865/100*Notas!$B$3</f>
        <v>68.4</v>
      </c>
      <c r="D865" s="17" t="n">
        <f aca="false">24.37/95*Notas!$B$3</f>
        <v>24.37</v>
      </c>
      <c r="E865" s="17" t="n">
        <f aca="false">24.58/95*Notas!$B$3</f>
        <v>24.58</v>
      </c>
      <c r="F865" s="13" t="n">
        <v>1</v>
      </c>
      <c r="G865" s="17" t="n">
        <f aca="false">24.37/95*Notas!$B$3</f>
        <v>24.37</v>
      </c>
      <c r="H865" s="17" t="n">
        <f aca="false">24.58/95*Notas!$B$3</f>
        <v>24.58</v>
      </c>
      <c r="I865" s="17" t="n">
        <f aca="false">100.94/95*Notas!$B$3</f>
        <v>100.94</v>
      </c>
      <c r="J865" s="17" t="n">
        <f aca="false">100.94/95*Notas!$B$3</f>
        <v>100.94</v>
      </c>
    </row>
    <row r="866" customFormat="false" ht="15" hidden="false" customHeight="false" outlineLevel="0" collapsed="false">
      <c r="A866" s="13" t="s">
        <v>245</v>
      </c>
      <c r="B866" s="13" t="n">
        <v>73</v>
      </c>
      <c r="C866" s="17" t="n">
        <f aca="false">B866/100*Notas!$B$3</f>
        <v>69.35</v>
      </c>
      <c r="D866" s="17" t="n">
        <f aca="false">23.1/95*Notas!$B$3</f>
        <v>23.1</v>
      </c>
      <c r="E866" s="17" t="n">
        <f aca="false">22.58/95*Notas!$B$3</f>
        <v>22.58</v>
      </c>
      <c r="F866" s="13" t="n">
        <v>2</v>
      </c>
      <c r="G866" s="17" t="n">
        <f aca="false">18.71/95*Notas!$B$3</f>
        <v>18.71</v>
      </c>
      <c r="H866" s="17" t="n">
        <f aca="false">22.58/95*Notas!$B$3</f>
        <v>22.58</v>
      </c>
      <c r="I866" s="17" t="n">
        <f aca="false">90.55/95*Notas!$B$3</f>
        <v>90.55</v>
      </c>
      <c r="J866" s="17" t="n">
        <f aca="false">121.28/95*Notas!$B$3</f>
        <v>121.28</v>
      </c>
    </row>
    <row r="867" customFormat="false" ht="15" hidden="false" customHeight="false" outlineLevel="0" collapsed="false">
      <c r="A867" s="13" t="s">
        <v>245</v>
      </c>
      <c r="B867" s="13" t="n">
        <v>74</v>
      </c>
      <c r="C867" s="17" t="n">
        <f aca="false">B867/100*Notas!$B$3</f>
        <v>70.3</v>
      </c>
      <c r="D867" s="17" t="n">
        <f aca="false">21.79/95*Notas!$B$3</f>
        <v>21.79</v>
      </c>
      <c r="E867" s="17" t="n">
        <f aca="false">19.91/95*Notas!$B$3</f>
        <v>19.91</v>
      </c>
      <c r="F867" s="13" t="n">
        <v>2</v>
      </c>
      <c r="G867" s="17" t="n">
        <f aca="false">18.29/95*Notas!$B$3</f>
        <v>18.29</v>
      </c>
      <c r="H867" s="17" t="n">
        <f aca="false">19.91/95*Notas!$B$3</f>
        <v>19.91</v>
      </c>
      <c r="I867" s="17" t="n">
        <f aca="false">82.52/95*Notas!$B$3</f>
        <v>82.52</v>
      </c>
      <c r="J867" s="17" t="n">
        <f aca="false">108.22/95*Notas!$B$3</f>
        <v>108.22</v>
      </c>
    </row>
    <row r="868" customFormat="false" ht="15" hidden="false" customHeight="false" outlineLevel="0" collapsed="false">
      <c r="A868" s="13" t="s">
        <v>245</v>
      </c>
      <c r="B868" s="13" t="n">
        <v>75</v>
      </c>
      <c r="C868" s="17" t="n">
        <f aca="false">B868/100*Notas!$B$3</f>
        <v>71.25</v>
      </c>
      <c r="D868" s="17" t="n">
        <f aca="false">20.43/95*Notas!$B$3</f>
        <v>20.43</v>
      </c>
      <c r="E868" s="17" t="n">
        <f aca="false">18.99/95*Notas!$B$3</f>
        <v>18.99</v>
      </c>
      <c r="F868" s="13" t="n">
        <v>4</v>
      </c>
      <c r="G868" s="17" t="n">
        <f aca="false">6.94/95*Notas!$B$3</f>
        <v>6.94</v>
      </c>
      <c r="H868" s="17" t="n">
        <f aca="false">8.56/95*Notas!$B$3</f>
        <v>8.56</v>
      </c>
      <c r="I868" s="17" t="n">
        <f aca="false">22.92/95*Notas!$B$3</f>
        <v>22.92</v>
      </c>
      <c r="J868" s="17" t="n">
        <f aca="false">101.72/95*Notas!$B$3</f>
        <v>101.72</v>
      </c>
    </row>
    <row r="869" customFormat="false" ht="15" hidden="false" customHeight="false" outlineLevel="0" collapsed="false">
      <c r="A869" s="13" t="s">
        <v>245</v>
      </c>
      <c r="B869" s="13" t="n">
        <v>76</v>
      </c>
      <c r="C869" s="17" t="n">
        <f aca="false">B869/100*Notas!$B$3</f>
        <v>72.2</v>
      </c>
      <c r="D869" s="17" t="n">
        <f aca="false">19.02/95*Notas!$B$3</f>
        <v>19.02</v>
      </c>
      <c r="E869" s="17" t="n">
        <f aca="false">18.15/95*Notas!$B$3</f>
        <v>18.15</v>
      </c>
      <c r="F869" s="13" t="n">
        <v>4</v>
      </c>
      <c r="G869" s="17" t="n">
        <f aca="false">5.39/95*Notas!$B$3</f>
        <v>5.39</v>
      </c>
      <c r="H869" s="17" t="n">
        <f aca="false">6.34/95*Notas!$B$3</f>
        <v>6.34</v>
      </c>
      <c r="I869" s="17" t="n">
        <f aca="false">17.09/95*Notas!$B$3</f>
        <v>17.09</v>
      </c>
      <c r="J869" s="17" t="n">
        <f aca="false">84.85/95*Notas!$B$3</f>
        <v>84.85</v>
      </c>
    </row>
    <row r="870" customFormat="false" ht="15" hidden="false" customHeight="false" outlineLevel="0" collapsed="false">
      <c r="A870" s="13" t="s">
        <v>245</v>
      </c>
      <c r="B870" s="13" t="n">
        <v>77</v>
      </c>
      <c r="C870" s="17" t="n">
        <f aca="false">B870/100*Notas!$B$3</f>
        <v>73.15</v>
      </c>
      <c r="D870" s="17" t="n">
        <f aca="false">17.39/95*Notas!$B$3</f>
        <v>17.39</v>
      </c>
      <c r="E870" s="17" t="n">
        <f aca="false">17.24/95*Notas!$B$3</f>
        <v>17.24</v>
      </c>
      <c r="F870" s="13" t="n">
        <v>3</v>
      </c>
      <c r="G870" s="17" t="n">
        <f aca="false">8.6/95*Notas!$B$3</f>
        <v>8.6</v>
      </c>
      <c r="H870" s="17" t="n">
        <f aca="false">5.52/95*Notas!$B$3</f>
        <v>5.52</v>
      </c>
      <c r="I870" s="17" t="n">
        <f aca="false">21.36/95*Notas!$B$3</f>
        <v>21.36</v>
      </c>
      <c r="J870" s="17" t="n">
        <f aca="false">54.31/95*Notas!$B$3</f>
        <v>54.31</v>
      </c>
    </row>
    <row r="871" customFormat="false" ht="15" hidden="false" customHeight="false" outlineLevel="0" collapsed="false">
      <c r="A871" s="13" t="s">
        <v>245</v>
      </c>
      <c r="B871" s="13" t="n">
        <v>78</v>
      </c>
      <c r="C871" s="17" t="n">
        <f aca="false">B871/100*Notas!$B$3</f>
        <v>74.1</v>
      </c>
      <c r="D871" s="17" t="n">
        <f aca="false">7.52/95*Notas!$B$3</f>
        <v>7.52</v>
      </c>
      <c r="E871" s="17" t="n">
        <f aca="false">16.27/95*Notas!$B$3</f>
        <v>16.27</v>
      </c>
      <c r="F871" s="13" t="n">
        <v>2</v>
      </c>
      <c r="G871" s="17" t="n">
        <f aca="false">7.34/95*Notas!$B$3</f>
        <v>7.34</v>
      </c>
      <c r="H871" s="17" t="n">
        <f aca="false">4.67/95*Notas!$B$3</f>
        <v>4.67</v>
      </c>
      <c r="I871" s="17" t="n">
        <f aca="false">18.18/95*Notas!$B$3</f>
        <v>18.18</v>
      </c>
      <c r="J871" s="17" t="n">
        <f aca="false">39.86/95*Notas!$B$3</f>
        <v>39.86</v>
      </c>
    </row>
    <row r="872" customFormat="false" ht="15" hidden="false" customHeight="false" outlineLevel="0" collapsed="false">
      <c r="A872" s="13" t="s">
        <v>245</v>
      </c>
      <c r="B872" s="13" t="n">
        <v>79</v>
      </c>
      <c r="C872" s="17" t="n">
        <f aca="false">B872/100*Notas!$B$3</f>
        <v>75.05</v>
      </c>
      <c r="D872" s="17" t="n">
        <f aca="false">6.01/95*Notas!$B$3</f>
        <v>6.01</v>
      </c>
      <c r="E872" s="17" t="n">
        <f aca="false">15.25/95*Notas!$B$3</f>
        <v>15.25</v>
      </c>
      <c r="F872" s="13" t="n">
        <v>2</v>
      </c>
      <c r="G872" s="17" t="n">
        <f aca="false">6.01/95*Notas!$B$3</f>
        <v>6.01</v>
      </c>
      <c r="H872" s="17" t="n">
        <f aca="false">3.79/95*Notas!$B$3</f>
        <v>3.79</v>
      </c>
      <c r="I872" s="17" t="n">
        <f aca="false">14.81/95*Notas!$B$3</f>
        <v>14.81</v>
      </c>
      <c r="J872" s="17" t="n">
        <f aca="false">32.25/95*Notas!$B$3</f>
        <v>32.25</v>
      </c>
    </row>
    <row r="873" customFormat="false" ht="15" hidden="false" customHeight="false" outlineLevel="0" collapsed="false">
      <c r="A873" s="13" t="s">
        <v>245</v>
      </c>
      <c r="B873" s="13" t="n">
        <v>80</v>
      </c>
      <c r="C873" s="17" t="n">
        <f aca="false">B873/100*Notas!$B$3</f>
        <v>76</v>
      </c>
      <c r="D873" s="17" t="n">
        <f aca="false">4.76/95*Notas!$B$3</f>
        <v>4.76</v>
      </c>
      <c r="E873" s="17" t="n">
        <f aca="false">14.21/95*Notas!$B$3</f>
        <v>14.21</v>
      </c>
      <c r="F873" s="13" t="n">
        <v>2</v>
      </c>
      <c r="G873" s="17" t="n">
        <f aca="false">4.56/95*Notas!$B$3</f>
        <v>4.56</v>
      </c>
      <c r="H873" s="17" t="n">
        <f aca="false">2.92/95*Notas!$B$3</f>
        <v>2.92</v>
      </c>
      <c r="I873" s="17" t="n">
        <f aca="false">11.26/95*Notas!$B$3</f>
        <v>11.26</v>
      </c>
      <c r="J873" s="17" t="n">
        <f aca="false">24.39/95*Notas!$B$3</f>
        <v>24.39</v>
      </c>
    </row>
    <row r="874" customFormat="false" ht="15" hidden="false" customHeight="false" outlineLevel="0" collapsed="false">
      <c r="A874" s="13" t="s">
        <v>245</v>
      </c>
      <c r="B874" s="13" t="n">
        <v>81</v>
      </c>
      <c r="C874" s="17" t="n">
        <f aca="false">B874/100*Notas!$B$3</f>
        <v>76.95</v>
      </c>
      <c r="D874" s="17" t="n">
        <f aca="false">4.02/95*Notas!$B$3</f>
        <v>4.02</v>
      </c>
      <c r="E874" s="17" t="n">
        <f aca="false">13.2/95*Notas!$B$3</f>
        <v>13.2</v>
      </c>
      <c r="F874" s="13" t="n">
        <v>2</v>
      </c>
      <c r="G874" s="17" t="n">
        <f aca="false">3.19/95*Notas!$B$3</f>
        <v>3.19</v>
      </c>
      <c r="H874" s="17" t="n">
        <f aca="false">2.06/95*Notas!$B$3</f>
        <v>2.06</v>
      </c>
      <c r="I874" s="17" t="n">
        <f aca="false">7.81/95*Notas!$B$3</f>
        <v>7.81</v>
      </c>
      <c r="J874" s="17" t="n">
        <f aca="false">16.5/95*Notas!$B$3</f>
        <v>16.5</v>
      </c>
    </row>
    <row r="875" customFormat="false" ht="15" hidden="false" customHeight="false" outlineLevel="0" collapsed="false">
      <c r="A875" s="13" t="s">
        <v>245</v>
      </c>
      <c r="B875" s="13" t="n">
        <v>82</v>
      </c>
      <c r="C875" s="17" t="n">
        <f aca="false">B875/100*Notas!$B$3</f>
        <v>77.9</v>
      </c>
      <c r="D875" s="17" t="n">
        <f aca="false">2.92/95*Notas!$B$3</f>
        <v>2.92</v>
      </c>
      <c r="E875" s="17" t="n">
        <f aca="false">12.01/95*Notas!$B$3</f>
        <v>12.01</v>
      </c>
      <c r="F875" s="13" t="n">
        <v>2</v>
      </c>
      <c r="G875" s="17" t="n">
        <f aca="false">1.74/95*Notas!$B$3</f>
        <v>1.74</v>
      </c>
      <c r="H875" s="17" t="n">
        <f aca="false">1.14/95*Notas!$B$3</f>
        <v>1.14</v>
      </c>
      <c r="I875" s="17" t="n">
        <f aca="false">4.2/95*Notas!$B$3</f>
        <v>4.2</v>
      </c>
      <c r="J875" s="17" t="n">
        <f aca="false">7.45/95*Notas!$B$3</f>
        <v>7.45</v>
      </c>
    </row>
    <row r="876" customFormat="false" ht="15" hidden="false" customHeight="false" outlineLevel="0" collapsed="false">
      <c r="A876" s="13" t="s">
        <v>245</v>
      </c>
      <c r="B876" s="13" t="n">
        <v>83</v>
      </c>
      <c r="C876" s="17" t="n">
        <f aca="false">B876/100*Notas!$B$3</f>
        <v>78.85</v>
      </c>
      <c r="D876" s="17" t="n">
        <f aca="false">0/95*Notas!$B$3</f>
        <v>0</v>
      </c>
      <c r="E876" s="17" t="n">
        <f aca="false">0/95*Notas!$B$3</f>
        <v>0</v>
      </c>
      <c r="F876" s="13" t="n">
        <v>0</v>
      </c>
      <c r="G876" s="17" t="n">
        <f aca="false">0/95*Notas!$B$3</f>
        <v>0</v>
      </c>
      <c r="H876" s="17" t="n">
        <f aca="false">0/95*Notas!$B$3</f>
        <v>0</v>
      </c>
      <c r="I876" s="17" t="n">
        <f aca="false">0/95*Notas!$B$3</f>
        <v>0</v>
      </c>
      <c r="J876" s="17" t="n">
        <f aca="false">0/95*Notas!$B$3</f>
        <v>0</v>
      </c>
    </row>
    <row r="877" customFormat="false" ht="15" hidden="false" customHeight="false" outlineLevel="0" collapsed="false">
      <c r="A877" s="13" t="s">
        <v>245</v>
      </c>
      <c r="B877" s="13" t="n">
        <v>84</v>
      </c>
      <c r="C877" s="17" t="n">
        <f aca="false">B877/100*Notas!$B$3</f>
        <v>79.8</v>
      </c>
      <c r="D877" s="17" t="n">
        <f aca="false">0/95*Notas!$B$3</f>
        <v>0</v>
      </c>
      <c r="E877" s="17" t="n">
        <f aca="false">0/95*Notas!$B$3</f>
        <v>0</v>
      </c>
      <c r="F877" s="13" t="n">
        <v>0</v>
      </c>
      <c r="G877" s="17" t="n">
        <f aca="false">0/95*Notas!$B$3</f>
        <v>0</v>
      </c>
      <c r="H877" s="17" t="n">
        <f aca="false">0/95*Notas!$B$3</f>
        <v>0</v>
      </c>
      <c r="I877" s="17" t="n">
        <f aca="false">0/95*Notas!$B$3</f>
        <v>0</v>
      </c>
      <c r="J877" s="17" t="n">
        <f aca="false">0/95*Notas!$B$3</f>
        <v>0</v>
      </c>
    </row>
    <row r="878" customFormat="false" ht="15" hidden="false" customHeight="false" outlineLevel="0" collapsed="false">
      <c r="A878" s="13" t="s">
        <v>245</v>
      </c>
      <c r="B878" s="13" t="n">
        <v>85</v>
      </c>
      <c r="C878" s="17" t="n">
        <f aca="false">B878/100*Notas!$B$3</f>
        <v>80.75</v>
      </c>
      <c r="D878" s="17" t="n">
        <f aca="false">0/95*Notas!$B$3</f>
        <v>0</v>
      </c>
      <c r="E878" s="17" t="n">
        <f aca="false">0/95*Notas!$B$3</f>
        <v>0</v>
      </c>
      <c r="F878" s="13" t="n">
        <v>0</v>
      </c>
      <c r="G878" s="17" t="n">
        <f aca="false">0/95*Notas!$B$3</f>
        <v>0</v>
      </c>
      <c r="H878" s="17" t="n">
        <f aca="false">0/95*Notas!$B$3</f>
        <v>0</v>
      </c>
      <c r="I878" s="17" t="n">
        <f aca="false">0/95*Notas!$B$3</f>
        <v>0</v>
      </c>
      <c r="J878" s="17" t="n">
        <f aca="false">0/95*Notas!$B$3</f>
        <v>0</v>
      </c>
    </row>
    <row r="879" customFormat="false" ht="15" hidden="false" customHeight="false" outlineLevel="0" collapsed="false">
      <c r="A879" s="13" t="s">
        <v>245</v>
      </c>
      <c r="B879" s="13" t="n">
        <v>86</v>
      </c>
      <c r="C879" s="17" t="n">
        <f aca="false">B879/100*Notas!$B$3</f>
        <v>81.7</v>
      </c>
      <c r="D879" s="17" t="n">
        <f aca="false">0/95*Notas!$B$3</f>
        <v>0</v>
      </c>
      <c r="E879" s="17" t="n">
        <f aca="false">0/95*Notas!$B$3</f>
        <v>0</v>
      </c>
      <c r="F879" s="13" t="n">
        <v>0</v>
      </c>
      <c r="G879" s="17" t="n">
        <f aca="false">0/95*Notas!$B$3</f>
        <v>0</v>
      </c>
      <c r="H879" s="17" t="n">
        <f aca="false">0/95*Notas!$B$3</f>
        <v>0</v>
      </c>
      <c r="I879" s="17" t="n">
        <f aca="false">0/95*Notas!$B$3</f>
        <v>0</v>
      </c>
      <c r="J879" s="17" t="n">
        <f aca="false">0/95*Notas!$B$3</f>
        <v>0</v>
      </c>
    </row>
    <row r="880" customFormat="false" ht="15" hidden="false" customHeight="false" outlineLevel="0" collapsed="false">
      <c r="A880" s="13" t="s">
        <v>245</v>
      </c>
      <c r="B880" s="13" t="n">
        <v>87</v>
      </c>
      <c r="C880" s="17" t="n">
        <f aca="false">B880/100*Notas!$B$3</f>
        <v>82.65</v>
      </c>
      <c r="D880" s="17" t="n">
        <f aca="false">0/95*Notas!$B$3</f>
        <v>0</v>
      </c>
      <c r="E880" s="17" t="n">
        <f aca="false">0/95*Notas!$B$3</f>
        <v>0</v>
      </c>
      <c r="F880" s="13" t="n">
        <v>0</v>
      </c>
      <c r="G880" s="17" t="n">
        <f aca="false">0/95*Notas!$B$3</f>
        <v>0</v>
      </c>
      <c r="H880" s="17" t="n">
        <f aca="false">0/95*Notas!$B$3</f>
        <v>0</v>
      </c>
      <c r="I880" s="17" t="n">
        <f aca="false">0/95*Notas!$B$3</f>
        <v>0</v>
      </c>
      <c r="J880" s="17" t="n">
        <f aca="false">0/95*Notas!$B$3</f>
        <v>0</v>
      </c>
    </row>
    <row r="881" customFormat="false" ht="15" hidden="false" customHeight="false" outlineLevel="0" collapsed="false">
      <c r="A881" s="13" t="s">
        <v>245</v>
      </c>
      <c r="B881" s="13" t="n">
        <v>88</v>
      </c>
      <c r="C881" s="17" t="n">
        <f aca="false">B881/100*Notas!$B$3</f>
        <v>83.6</v>
      </c>
      <c r="D881" s="17" t="n">
        <f aca="false">0/95*Notas!$B$3</f>
        <v>0</v>
      </c>
      <c r="E881" s="17" t="n">
        <f aca="false">0/95*Notas!$B$3</f>
        <v>0</v>
      </c>
      <c r="F881" s="13" t="n">
        <v>0</v>
      </c>
      <c r="G881" s="17" t="n">
        <f aca="false">0/95*Notas!$B$3</f>
        <v>0</v>
      </c>
      <c r="H881" s="17" t="n">
        <f aca="false">0/95*Notas!$B$3</f>
        <v>0</v>
      </c>
      <c r="I881" s="17" t="n">
        <f aca="false">0/95*Notas!$B$3</f>
        <v>0</v>
      </c>
      <c r="J881" s="17" t="n">
        <f aca="false">0/95*Notas!$B$3</f>
        <v>0</v>
      </c>
    </row>
    <row r="882" customFormat="false" ht="15" hidden="false" customHeight="false" outlineLevel="0" collapsed="false">
      <c r="A882" s="13" t="s">
        <v>245</v>
      </c>
      <c r="B882" s="13" t="n">
        <v>89</v>
      </c>
      <c r="C882" s="17" t="n">
        <f aca="false">B882/100*Notas!$B$3</f>
        <v>84.55</v>
      </c>
      <c r="D882" s="17" t="n">
        <f aca="false">0/95*Notas!$B$3</f>
        <v>0</v>
      </c>
      <c r="E882" s="17" t="n">
        <f aca="false">0/95*Notas!$B$3</f>
        <v>0</v>
      </c>
      <c r="F882" s="13" t="n">
        <v>0</v>
      </c>
      <c r="G882" s="17" t="n">
        <f aca="false">0/95*Notas!$B$3</f>
        <v>0</v>
      </c>
      <c r="H882" s="17" t="n">
        <f aca="false">0/95*Notas!$B$3</f>
        <v>0</v>
      </c>
      <c r="I882" s="17" t="n">
        <f aca="false">0/95*Notas!$B$3</f>
        <v>0</v>
      </c>
      <c r="J882" s="17" t="n">
        <f aca="false">0/95*Notas!$B$3</f>
        <v>0</v>
      </c>
    </row>
    <row r="883" customFormat="false" ht="15" hidden="false" customHeight="false" outlineLevel="0" collapsed="false">
      <c r="A883" s="13" t="s">
        <v>245</v>
      </c>
      <c r="B883" s="13" t="n">
        <v>90</v>
      </c>
      <c r="C883" s="17" t="n">
        <f aca="false">B883/100*Notas!$B$3</f>
        <v>85.5</v>
      </c>
      <c r="D883" s="17" t="n">
        <f aca="false">0/95*Notas!$B$3</f>
        <v>0</v>
      </c>
      <c r="E883" s="17" t="n">
        <f aca="false">0/95*Notas!$B$3</f>
        <v>0</v>
      </c>
      <c r="F883" s="13" t="n">
        <v>0</v>
      </c>
      <c r="G883" s="17" t="n">
        <f aca="false">0/95*Notas!$B$3</f>
        <v>0</v>
      </c>
      <c r="H883" s="17" t="n">
        <f aca="false">0/95*Notas!$B$3</f>
        <v>0</v>
      </c>
      <c r="I883" s="17" t="n">
        <f aca="false">0/95*Notas!$B$3</f>
        <v>0</v>
      </c>
      <c r="J883" s="17" t="n">
        <f aca="false">0/95*Notas!$B$3</f>
        <v>0</v>
      </c>
    </row>
    <row r="884" customFormat="false" ht="15" hidden="false" customHeight="false" outlineLevel="0" collapsed="false">
      <c r="A884" s="13" t="s">
        <v>245</v>
      </c>
      <c r="B884" s="13" t="n">
        <v>91</v>
      </c>
      <c r="C884" s="17" t="n">
        <f aca="false">B884/100*Notas!$B$3</f>
        <v>86.45</v>
      </c>
      <c r="D884" s="17" t="n">
        <f aca="false">0/95*Notas!$B$3</f>
        <v>0</v>
      </c>
      <c r="E884" s="17" t="n">
        <f aca="false">0/95*Notas!$B$3</f>
        <v>0</v>
      </c>
      <c r="F884" s="13" t="n">
        <v>0</v>
      </c>
      <c r="G884" s="17" t="n">
        <f aca="false">0/95*Notas!$B$3</f>
        <v>0</v>
      </c>
      <c r="H884" s="17" t="n">
        <f aca="false">0/95*Notas!$B$3</f>
        <v>0</v>
      </c>
      <c r="I884" s="17" t="n">
        <f aca="false">0/95*Notas!$B$3</f>
        <v>0</v>
      </c>
      <c r="J884" s="17" t="n">
        <f aca="false">0/95*Notas!$B$3</f>
        <v>0</v>
      </c>
    </row>
    <row r="885" customFormat="false" ht="15" hidden="false" customHeight="false" outlineLevel="0" collapsed="false">
      <c r="A885" s="13" t="s">
        <v>245</v>
      </c>
      <c r="B885" s="13" t="n">
        <v>92</v>
      </c>
      <c r="C885" s="17" t="n">
        <f aca="false">B885/100*Notas!$B$3</f>
        <v>87.4</v>
      </c>
      <c r="D885" s="17" t="n">
        <f aca="false">0/95*Notas!$B$3</f>
        <v>0</v>
      </c>
      <c r="E885" s="17" t="n">
        <f aca="false">0/95*Notas!$B$3</f>
        <v>0</v>
      </c>
      <c r="F885" s="13" t="n">
        <v>0</v>
      </c>
      <c r="G885" s="17" t="n">
        <f aca="false">0/95*Notas!$B$3</f>
        <v>0</v>
      </c>
      <c r="H885" s="17" t="n">
        <f aca="false">0/95*Notas!$B$3</f>
        <v>0</v>
      </c>
      <c r="I885" s="17" t="n">
        <f aca="false">0/95*Notas!$B$3</f>
        <v>0</v>
      </c>
      <c r="J885" s="17" t="n">
        <f aca="false">0/95*Notas!$B$3</f>
        <v>0</v>
      </c>
    </row>
    <row r="886" customFormat="false" ht="15" hidden="false" customHeight="false" outlineLevel="0" collapsed="false">
      <c r="A886" s="13" t="s">
        <v>245</v>
      </c>
      <c r="B886" s="13" t="n">
        <v>93</v>
      </c>
      <c r="C886" s="17" t="n">
        <f aca="false">B886/100*Notas!$B$3</f>
        <v>88.35</v>
      </c>
      <c r="D886" s="17" t="n">
        <f aca="false">0/95*Notas!$B$3</f>
        <v>0</v>
      </c>
      <c r="E886" s="17" t="n">
        <f aca="false">0/95*Notas!$B$3</f>
        <v>0</v>
      </c>
      <c r="F886" s="13" t="n">
        <v>0</v>
      </c>
      <c r="G886" s="17" t="n">
        <f aca="false">0/95*Notas!$B$3</f>
        <v>0</v>
      </c>
      <c r="H886" s="17" t="n">
        <f aca="false">0/95*Notas!$B$3</f>
        <v>0</v>
      </c>
      <c r="I886" s="17" t="n">
        <f aca="false">0/95*Notas!$B$3</f>
        <v>0</v>
      </c>
      <c r="J886" s="17" t="n">
        <f aca="false">0/95*Notas!$B$3</f>
        <v>0</v>
      </c>
    </row>
    <row r="887" customFormat="false" ht="15" hidden="false" customHeight="false" outlineLevel="0" collapsed="false">
      <c r="A887" s="13" t="s">
        <v>245</v>
      </c>
      <c r="B887" s="13" t="n">
        <v>94</v>
      </c>
      <c r="C887" s="17" t="n">
        <f aca="false">B887/100*Notas!$B$3</f>
        <v>89.3</v>
      </c>
      <c r="D887" s="17" t="n">
        <f aca="false">0/95*Notas!$B$3</f>
        <v>0</v>
      </c>
      <c r="E887" s="17" t="n">
        <f aca="false">0/95*Notas!$B$3</f>
        <v>0</v>
      </c>
      <c r="F887" s="13" t="n">
        <v>0</v>
      </c>
      <c r="G887" s="17" t="n">
        <f aca="false">0/95*Notas!$B$3</f>
        <v>0</v>
      </c>
      <c r="H887" s="17" t="n">
        <f aca="false">0/95*Notas!$B$3</f>
        <v>0</v>
      </c>
      <c r="I887" s="17" t="n">
        <f aca="false">0/95*Notas!$B$3</f>
        <v>0</v>
      </c>
      <c r="J887" s="17" t="n">
        <f aca="false">0/95*Notas!$B$3</f>
        <v>0</v>
      </c>
    </row>
    <row r="888" customFormat="false" ht="15" hidden="false" customHeight="false" outlineLevel="0" collapsed="false">
      <c r="A888" s="13" t="s">
        <v>245</v>
      </c>
      <c r="B888" s="13" t="n">
        <v>95</v>
      </c>
      <c r="C888" s="17" t="n">
        <f aca="false">B888/100*Notas!$B$3</f>
        <v>90.25</v>
      </c>
      <c r="D888" s="17" t="n">
        <f aca="false">0/95*Notas!$B$3</f>
        <v>0</v>
      </c>
      <c r="E888" s="17" t="n">
        <f aca="false">0/95*Notas!$B$3</f>
        <v>0</v>
      </c>
      <c r="F888" s="13" t="n">
        <v>0</v>
      </c>
      <c r="G888" s="17" t="n">
        <f aca="false">0/95*Notas!$B$3</f>
        <v>0</v>
      </c>
      <c r="H888" s="17" t="n">
        <f aca="false">0/95*Notas!$B$3</f>
        <v>0</v>
      </c>
      <c r="I888" s="17" t="n">
        <f aca="false">0/95*Notas!$B$3</f>
        <v>0</v>
      </c>
      <c r="J888" s="17" t="n">
        <f aca="false">0/95*Notas!$B$3</f>
        <v>0</v>
      </c>
    </row>
    <row r="889" customFormat="false" ht="15" hidden="false" customHeight="false" outlineLevel="0" collapsed="false">
      <c r="A889" s="13" t="s">
        <v>245</v>
      </c>
      <c r="B889" s="13" t="n">
        <v>96</v>
      </c>
      <c r="C889" s="17" t="n">
        <f aca="false">B889/100*Notas!$B$3</f>
        <v>91.2</v>
      </c>
      <c r="D889" s="17" t="n">
        <f aca="false">0/95*Notas!$B$3</f>
        <v>0</v>
      </c>
      <c r="E889" s="17" t="n">
        <f aca="false">0/95*Notas!$B$3</f>
        <v>0</v>
      </c>
      <c r="F889" s="13" t="n">
        <v>0</v>
      </c>
      <c r="G889" s="17" t="n">
        <f aca="false">0/95*Notas!$B$3</f>
        <v>0</v>
      </c>
      <c r="H889" s="17" t="n">
        <f aca="false">0/95*Notas!$B$3</f>
        <v>0</v>
      </c>
      <c r="I889" s="17" t="n">
        <f aca="false">0/95*Notas!$B$3</f>
        <v>0</v>
      </c>
      <c r="J889" s="17" t="n">
        <f aca="false">0/95*Notas!$B$3</f>
        <v>0</v>
      </c>
    </row>
    <row r="890" customFormat="false" ht="15" hidden="false" customHeight="false" outlineLevel="0" collapsed="false">
      <c r="A890" s="13" t="s">
        <v>245</v>
      </c>
      <c r="B890" s="13" t="n">
        <v>97</v>
      </c>
      <c r="C890" s="17" t="n">
        <f aca="false">B890/100*Notas!$B$3</f>
        <v>92.15</v>
      </c>
      <c r="D890" s="17" t="n">
        <f aca="false">0/95*Notas!$B$3</f>
        <v>0</v>
      </c>
      <c r="E890" s="17" t="n">
        <f aca="false">0/95*Notas!$B$3</f>
        <v>0</v>
      </c>
      <c r="F890" s="13" t="n">
        <v>0</v>
      </c>
      <c r="G890" s="17" t="n">
        <f aca="false">0/95*Notas!$B$3</f>
        <v>0</v>
      </c>
      <c r="H890" s="17" t="n">
        <f aca="false">0/95*Notas!$B$3</f>
        <v>0</v>
      </c>
      <c r="I890" s="17" t="n">
        <f aca="false">0/95*Notas!$B$3</f>
        <v>0</v>
      </c>
      <c r="J890" s="17" t="n">
        <f aca="false">0/95*Notas!$B$3</f>
        <v>0</v>
      </c>
    </row>
    <row r="891" customFormat="false" ht="15" hidden="false" customHeight="false" outlineLevel="0" collapsed="false">
      <c r="A891" s="13" t="s">
        <v>245</v>
      </c>
      <c r="B891" s="13" t="n">
        <v>98</v>
      </c>
      <c r="C891" s="17" t="n">
        <f aca="false">B891/100*Notas!$B$3</f>
        <v>93.1</v>
      </c>
      <c r="D891" s="17" t="n">
        <f aca="false">0/95*Notas!$B$3</f>
        <v>0</v>
      </c>
      <c r="E891" s="17" t="n">
        <f aca="false">0/95*Notas!$B$3</f>
        <v>0</v>
      </c>
      <c r="F891" s="13" t="n">
        <v>0</v>
      </c>
      <c r="G891" s="17" t="n">
        <f aca="false">0/95*Notas!$B$3</f>
        <v>0</v>
      </c>
      <c r="H891" s="17" t="n">
        <f aca="false">0/95*Notas!$B$3</f>
        <v>0</v>
      </c>
      <c r="I891" s="17" t="n">
        <f aca="false">0/95*Notas!$B$3</f>
        <v>0</v>
      </c>
      <c r="J891" s="17" t="n">
        <f aca="false">0/95*Notas!$B$3</f>
        <v>0</v>
      </c>
    </row>
    <row r="892" customFormat="false" ht="15" hidden="false" customHeight="false" outlineLevel="0" collapsed="false">
      <c r="A892" s="13" t="s">
        <v>245</v>
      </c>
      <c r="B892" s="13" t="n">
        <v>99</v>
      </c>
      <c r="C892" s="17" t="n">
        <f aca="false">B892/100*Notas!$B$3</f>
        <v>94.05</v>
      </c>
      <c r="D892" s="17" t="n">
        <f aca="false">0.66/95*Notas!$B$3</f>
        <v>0.66</v>
      </c>
      <c r="E892" s="17" t="n">
        <f aca="false">0.45/95*Notas!$B$3</f>
        <v>0.45</v>
      </c>
      <c r="F892" s="13" t="n">
        <v>1</v>
      </c>
      <c r="G892" s="17" t="n">
        <f aca="false">0.66/95*Notas!$B$3</f>
        <v>0.66</v>
      </c>
      <c r="H892" s="17" t="n">
        <f aca="false">0.45/95*Notas!$B$3</f>
        <v>0.45</v>
      </c>
      <c r="I892" s="17" t="n">
        <f aca="false">1.75/95*Notas!$B$3</f>
        <v>1.75</v>
      </c>
      <c r="J892" s="17" t="n">
        <f aca="false">1.75/95*Notas!$B$3</f>
        <v>1.75</v>
      </c>
    </row>
    <row r="893" customFormat="false" ht="15" hidden="false" customHeight="false" outlineLevel="0" collapsed="false">
      <c r="A893" s="13" t="s">
        <v>247</v>
      </c>
      <c r="B893" s="13" t="n">
        <v>1</v>
      </c>
      <c r="C893" s="17" t="n">
        <f aca="false">B893/100*Notas!$B$3</f>
        <v>0.95</v>
      </c>
      <c r="D893" s="17" t="n">
        <f aca="false">21.25/95*Notas!$B$3</f>
        <v>21.25</v>
      </c>
      <c r="E893" s="17" t="n">
        <f aca="false">22.7/95*Notas!$B$3</f>
        <v>22.7</v>
      </c>
      <c r="F893" s="13" t="n">
        <v>3</v>
      </c>
      <c r="G893" s="17" t="n">
        <f aca="false">9.06/95*Notas!$B$3</f>
        <v>9.06</v>
      </c>
      <c r="H893" s="17" t="n">
        <f aca="false">8.23/95*Notas!$B$3</f>
        <v>8.23</v>
      </c>
      <c r="I893" s="17" t="n">
        <f aca="false">29.08/95*Notas!$B$3</f>
        <v>29.08</v>
      </c>
      <c r="J893" s="17" t="n">
        <f aca="false">127.55/95*Notas!$B$3</f>
        <v>127.55</v>
      </c>
    </row>
    <row r="894" customFormat="false" ht="15" hidden="false" customHeight="false" outlineLevel="0" collapsed="false">
      <c r="A894" s="13" t="s">
        <v>247</v>
      </c>
      <c r="B894" s="13" t="n">
        <v>2</v>
      </c>
      <c r="C894" s="17" t="n">
        <f aca="false">B894/100*Notas!$B$3</f>
        <v>1.9</v>
      </c>
      <c r="D894" s="17" t="n">
        <f aca="false">21.17/95*Notas!$B$3</f>
        <v>21.17</v>
      </c>
      <c r="E894" s="17" t="n">
        <f aca="false">22.63/95*Notas!$B$3</f>
        <v>22.63</v>
      </c>
      <c r="F894" s="13" t="n">
        <v>2</v>
      </c>
      <c r="G894" s="17" t="n">
        <f aca="false">10.3/95*Notas!$B$3</f>
        <v>10.3</v>
      </c>
      <c r="H894" s="17" t="n">
        <f aca="false">20.88/95*Notas!$B$3</f>
        <v>20.88</v>
      </c>
      <c r="I894" s="17" t="n">
        <f aca="false">56.3/95*Notas!$B$3</f>
        <v>56.3</v>
      </c>
      <c r="J894" s="17" t="n">
        <f aca="false">115.67/95*Notas!$B$3</f>
        <v>115.67</v>
      </c>
    </row>
    <row r="895" customFormat="false" ht="15" hidden="false" customHeight="false" outlineLevel="0" collapsed="false">
      <c r="A895" s="13" t="s">
        <v>247</v>
      </c>
      <c r="B895" s="13" t="n">
        <v>3</v>
      </c>
      <c r="C895" s="17" t="n">
        <f aca="false">B895/100*Notas!$B$3</f>
        <v>2.85</v>
      </c>
      <c r="D895" s="17" t="n">
        <f aca="false">21/95*Notas!$B$3</f>
        <v>21</v>
      </c>
      <c r="E895" s="17" t="n">
        <f aca="false">22.57/95*Notas!$B$3</f>
        <v>22.57</v>
      </c>
      <c r="F895" s="13" t="n">
        <v>2</v>
      </c>
      <c r="G895" s="17" t="n">
        <f aca="false">10.07/95*Notas!$B$3</f>
        <v>10.07</v>
      </c>
      <c r="H895" s="17" t="n">
        <f aca="false">20.81/95*Notas!$B$3</f>
        <v>20.81</v>
      </c>
      <c r="I895" s="17" t="n">
        <f aca="false">55.23/95*Notas!$B$3</f>
        <v>55.23</v>
      </c>
      <c r="J895" s="17" t="n">
        <f aca="false">114.45/95*Notas!$B$3</f>
        <v>114.45</v>
      </c>
    </row>
    <row r="896" customFormat="false" ht="15" hidden="false" customHeight="false" outlineLevel="0" collapsed="false">
      <c r="A896" s="13" t="s">
        <v>247</v>
      </c>
      <c r="B896" s="13" t="n">
        <v>4</v>
      </c>
      <c r="C896" s="17" t="n">
        <f aca="false">B896/100*Notas!$B$3</f>
        <v>3.8</v>
      </c>
      <c r="D896" s="17" t="n">
        <f aca="false">20.78/95*Notas!$B$3</f>
        <v>20.78</v>
      </c>
      <c r="E896" s="17" t="n">
        <f aca="false">22.33/95*Notas!$B$3</f>
        <v>22.33</v>
      </c>
      <c r="F896" s="13" t="n">
        <v>2</v>
      </c>
      <c r="G896" s="17" t="n">
        <f aca="false">9.4/95*Notas!$B$3</f>
        <v>9.4</v>
      </c>
      <c r="H896" s="17" t="n">
        <f aca="false">21.24/95*Notas!$B$3</f>
        <v>21.24</v>
      </c>
      <c r="I896" s="17" t="n">
        <f aca="false">55.12/95*Notas!$B$3</f>
        <v>55.12</v>
      </c>
      <c r="J896" s="17" t="n">
        <f aca="false">109.17/95*Notas!$B$3</f>
        <v>109.17</v>
      </c>
    </row>
    <row r="897" customFormat="false" ht="15" hidden="false" customHeight="false" outlineLevel="0" collapsed="false">
      <c r="A897" s="13" t="s">
        <v>247</v>
      </c>
      <c r="B897" s="13" t="n">
        <v>5</v>
      </c>
      <c r="C897" s="17" t="n">
        <f aca="false">B897/100*Notas!$B$3</f>
        <v>4.75</v>
      </c>
      <c r="D897" s="17" t="n">
        <f aca="false">20.91/95*Notas!$B$3</f>
        <v>20.91</v>
      </c>
      <c r="E897" s="17" t="n">
        <f aca="false">22.51/95*Notas!$B$3</f>
        <v>22.51</v>
      </c>
      <c r="F897" s="13" t="n">
        <v>2</v>
      </c>
      <c r="G897" s="17" t="n">
        <f aca="false">9.58/95*Notas!$B$3</f>
        <v>9.58</v>
      </c>
      <c r="H897" s="17" t="n">
        <f aca="false">21.43/95*Notas!$B$3</f>
        <v>21.43</v>
      </c>
      <c r="I897" s="17" t="n">
        <f aca="false">55.45/95*Notas!$B$3</f>
        <v>55.45</v>
      </c>
      <c r="J897" s="17" t="n">
        <f aca="false">110.4/95*Notas!$B$3</f>
        <v>110.4</v>
      </c>
    </row>
    <row r="898" customFormat="false" ht="15" hidden="false" customHeight="false" outlineLevel="0" collapsed="false">
      <c r="A898" s="13" t="s">
        <v>247</v>
      </c>
      <c r="B898" s="13" t="n">
        <v>6</v>
      </c>
      <c r="C898" s="17" t="n">
        <f aca="false">B898/100*Notas!$B$3</f>
        <v>5.7</v>
      </c>
      <c r="D898" s="17" t="n">
        <f aca="false">20.78/95*Notas!$B$3</f>
        <v>20.78</v>
      </c>
      <c r="E898" s="17" t="n">
        <f aca="false">22.59/95*Notas!$B$3</f>
        <v>22.59</v>
      </c>
      <c r="F898" s="13" t="n">
        <v>2</v>
      </c>
      <c r="G898" s="17" t="n">
        <f aca="false">9.57/95*Notas!$B$3</f>
        <v>9.57</v>
      </c>
      <c r="H898" s="17" t="n">
        <f aca="false">21.5/95*Notas!$B$3</f>
        <v>21.5</v>
      </c>
      <c r="I898" s="17" t="n">
        <f aca="false">55.24/95*Notas!$B$3</f>
        <v>55.24</v>
      </c>
      <c r="J898" s="17" t="n">
        <f aca="false">110.24/95*Notas!$B$3</f>
        <v>110.24</v>
      </c>
    </row>
    <row r="899" customFormat="false" ht="15" hidden="false" customHeight="false" outlineLevel="0" collapsed="false">
      <c r="A899" s="13" t="s">
        <v>247</v>
      </c>
      <c r="B899" s="13" t="n">
        <v>7</v>
      </c>
      <c r="C899" s="17" t="n">
        <f aca="false">B899/100*Notas!$B$3</f>
        <v>6.65</v>
      </c>
      <c r="D899" s="17" t="n">
        <f aca="false">20.54/95*Notas!$B$3</f>
        <v>20.54</v>
      </c>
      <c r="E899" s="17" t="n">
        <f aca="false">22.59/95*Notas!$B$3</f>
        <v>22.59</v>
      </c>
      <c r="F899" s="13" t="n">
        <v>2</v>
      </c>
      <c r="G899" s="17" t="n">
        <f aca="false">9.23/95*Notas!$B$3</f>
        <v>9.23</v>
      </c>
      <c r="H899" s="17" t="n">
        <f aca="false">21.42/95*Notas!$B$3</f>
        <v>21.42</v>
      </c>
      <c r="I899" s="17" t="n">
        <f aca="false">54.67/95*Notas!$B$3</f>
        <v>54.67</v>
      </c>
      <c r="J899" s="17" t="n">
        <f aca="false">107.99/95*Notas!$B$3</f>
        <v>107.99</v>
      </c>
    </row>
    <row r="900" customFormat="false" ht="15" hidden="false" customHeight="false" outlineLevel="0" collapsed="false">
      <c r="A900" s="13" t="s">
        <v>247</v>
      </c>
      <c r="B900" s="13" t="n">
        <v>8</v>
      </c>
      <c r="C900" s="17" t="n">
        <f aca="false">B900/100*Notas!$B$3</f>
        <v>7.6</v>
      </c>
      <c r="D900" s="17" t="n">
        <f aca="false">20.05/95*Notas!$B$3</f>
        <v>20.05</v>
      </c>
      <c r="E900" s="17" t="n">
        <f aca="false">22.08/95*Notas!$B$3</f>
        <v>22.08</v>
      </c>
      <c r="F900" s="13" t="n">
        <v>2</v>
      </c>
      <c r="G900" s="17" t="n">
        <f aca="false">9.98/95*Notas!$B$3</f>
        <v>9.98</v>
      </c>
      <c r="H900" s="17" t="n">
        <f aca="false">20.84/95*Notas!$B$3</f>
        <v>20.84</v>
      </c>
      <c r="I900" s="17" t="n">
        <f aca="false">54.03/95*Notas!$B$3</f>
        <v>54.03</v>
      </c>
      <c r="J900" s="17" t="n">
        <f aca="false">106.9/95*Notas!$B$3</f>
        <v>106.9</v>
      </c>
    </row>
    <row r="901" customFormat="false" ht="15" hidden="false" customHeight="false" outlineLevel="0" collapsed="false">
      <c r="A901" s="13" t="s">
        <v>247</v>
      </c>
      <c r="B901" s="13" t="n">
        <v>9</v>
      </c>
      <c r="C901" s="17" t="n">
        <f aca="false">B901/100*Notas!$B$3</f>
        <v>8.55</v>
      </c>
      <c r="D901" s="17" t="n">
        <f aca="false">19.81/95*Notas!$B$3</f>
        <v>19.81</v>
      </c>
      <c r="E901" s="17" t="n">
        <f aca="false">15.07/95*Notas!$B$3</f>
        <v>15.07</v>
      </c>
      <c r="F901" s="13" t="n">
        <v>2</v>
      </c>
      <c r="G901" s="17" t="n">
        <f aca="false">10.19/95*Notas!$B$3</f>
        <v>10.19</v>
      </c>
      <c r="H901" s="17" t="n">
        <f aca="false">13.85/95*Notas!$B$3</f>
        <v>13.85</v>
      </c>
      <c r="I901" s="17" t="n">
        <f aca="false">40.22/95*Notas!$B$3</f>
        <v>40.22</v>
      </c>
      <c r="J901" s="17" t="n">
        <f aca="false">78.8/95*Notas!$B$3</f>
        <v>78.8</v>
      </c>
    </row>
    <row r="902" customFormat="false" ht="15" hidden="false" customHeight="false" outlineLevel="0" collapsed="false">
      <c r="A902" s="13" t="s">
        <v>247</v>
      </c>
      <c r="B902" s="13" t="n">
        <v>10</v>
      </c>
      <c r="C902" s="17" t="n">
        <f aca="false">B902/100*Notas!$B$3</f>
        <v>9.5</v>
      </c>
      <c r="D902" s="17" t="n">
        <f aca="false">19.83/95*Notas!$B$3</f>
        <v>19.83</v>
      </c>
      <c r="E902" s="17" t="n">
        <f aca="false">15.31/95*Notas!$B$3</f>
        <v>15.31</v>
      </c>
      <c r="F902" s="13" t="n">
        <v>2</v>
      </c>
      <c r="G902" s="17" t="n">
        <f aca="false">10.22/95*Notas!$B$3</f>
        <v>10.22</v>
      </c>
      <c r="H902" s="17" t="n">
        <f aca="false">14.14/95*Notas!$B$3</f>
        <v>14.14</v>
      </c>
      <c r="I902" s="17" t="n">
        <f aca="false">40.89/95*Notas!$B$3</f>
        <v>40.89</v>
      </c>
      <c r="J902" s="17" t="n">
        <f aca="false">80.06/95*Notas!$B$3</f>
        <v>80.06</v>
      </c>
    </row>
    <row r="903" customFormat="false" ht="15" hidden="false" customHeight="false" outlineLevel="0" collapsed="false">
      <c r="A903" s="13" t="s">
        <v>247</v>
      </c>
      <c r="B903" s="13" t="n">
        <v>11</v>
      </c>
      <c r="C903" s="17" t="n">
        <f aca="false">B903/100*Notas!$B$3</f>
        <v>10.45</v>
      </c>
      <c r="D903" s="17" t="n">
        <f aca="false">19.85/95*Notas!$B$3</f>
        <v>19.85</v>
      </c>
      <c r="E903" s="17" t="n">
        <f aca="false">15.49/95*Notas!$B$3</f>
        <v>15.49</v>
      </c>
      <c r="F903" s="13" t="n">
        <v>2</v>
      </c>
      <c r="G903" s="17" t="n">
        <f aca="false">10.26/95*Notas!$B$3</f>
        <v>10.26</v>
      </c>
      <c r="H903" s="17" t="n">
        <f aca="false">14.31/95*Notas!$B$3</f>
        <v>14.31</v>
      </c>
      <c r="I903" s="17" t="n">
        <f aca="false">41.24/95*Notas!$B$3</f>
        <v>41.24</v>
      </c>
      <c r="J903" s="17" t="n">
        <f aca="false">80.65/95*Notas!$B$3</f>
        <v>80.65</v>
      </c>
    </row>
    <row r="904" customFormat="false" ht="15" hidden="false" customHeight="false" outlineLevel="0" collapsed="false">
      <c r="A904" s="13" t="s">
        <v>247</v>
      </c>
      <c r="B904" s="13" t="n">
        <v>12</v>
      </c>
      <c r="C904" s="17" t="n">
        <f aca="false">B904/100*Notas!$B$3</f>
        <v>11.4</v>
      </c>
      <c r="D904" s="17" t="n">
        <f aca="false">19.87/95*Notas!$B$3</f>
        <v>19.87</v>
      </c>
      <c r="E904" s="17" t="n">
        <f aca="false">15.66/95*Notas!$B$3</f>
        <v>15.66</v>
      </c>
      <c r="F904" s="13" t="n">
        <v>2</v>
      </c>
      <c r="G904" s="17" t="n">
        <f aca="false">10.36/95*Notas!$B$3</f>
        <v>10.36</v>
      </c>
      <c r="H904" s="17" t="n">
        <f aca="false">14.46/95*Notas!$B$3</f>
        <v>14.46</v>
      </c>
      <c r="I904" s="17" t="n">
        <f aca="false">41.53/95*Notas!$B$3</f>
        <v>41.53</v>
      </c>
      <c r="J904" s="17" t="n">
        <f aca="false">81.18/95*Notas!$B$3</f>
        <v>81.18</v>
      </c>
    </row>
    <row r="905" customFormat="false" ht="15" hidden="false" customHeight="false" outlineLevel="0" collapsed="false">
      <c r="A905" s="13" t="s">
        <v>247</v>
      </c>
      <c r="B905" s="13" t="n">
        <v>13</v>
      </c>
      <c r="C905" s="17" t="n">
        <f aca="false">B905/100*Notas!$B$3</f>
        <v>12.35</v>
      </c>
      <c r="D905" s="17" t="n">
        <f aca="false">19.89/95*Notas!$B$3</f>
        <v>19.89</v>
      </c>
      <c r="E905" s="17" t="n">
        <f aca="false">15.7/95*Notas!$B$3</f>
        <v>15.7</v>
      </c>
      <c r="F905" s="13" t="n">
        <v>1</v>
      </c>
      <c r="G905" s="17" t="n">
        <f aca="false">19.89/95*Notas!$B$3</f>
        <v>19.89</v>
      </c>
      <c r="H905" s="17" t="n">
        <f aca="false">15.7/95*Notas!$B$3</f>
        <v>15.7</v>
      </c>
      <c r="I905" s="17" t="n">
        <f aca="false">80.98/95*Notas!$B$3</f>
        <v>80.98</v>
      </c>
      <c r="J905" s="17" t="n">
        <f aca="false">80.98/95*Notas!$B$3</f>
        <v>80.98</v>
      </c>
    </row>
    <row r="906" customFormat="false" ht="15" hidden="false" customHeight="false" outlineLevel="0" collapsed="false">
      <c r="A906" s="13" t="s">
        <v>247</v>
      </c>
      <c r="B906" s="13" t="n">
        <v>14</v>
      </c>
      <c r="C906" s="17" t="n">
        <f aca="false">B906/100*Notas!$B$3</f>
        <v>13.3</v>
      </c>
      <c r="D906" s="17" t="n">
        <f aca="false">18.4/95*Notas!$B$3</f>
        <v>18.4</v>
      </c>
      <c r="E906" s="17" t="n">
        <f aca="false">14.54/95*Notas!$B$3</f>
        <v>14.54</v>
      </c>
      <c r="F906" s="13" t="n">
        <v>2</v>
      </c>
      <c r="G906" s="17" t="n">
        <f aca="false">8.72/95*Notas!$B$3</f>
        <v>8.72</v>
      </c>
      <c r="H906" s="17" t="n">
        <f aca="false">13.3/95*Notas!$B$3</f>
        <v>13.3</v>
      </c>
      <c r="I906" s="17" t="n">
        <f aca="false">36.85/95*Notas!$B$3</f>
        <v>36.85</v>
      </c>
      <c r="J906" s="17" t="n">
        <f aca="false">73.57/95*Notas!$B$3</f>
        <v>73.57</v>
      </c>
    </row>
    <row r="907" customFormat="false" ht="15" hidden="false" customHeight="false" outlineLevel="0" collapsed="false">
      <c r="A907" s="13" t="s">
        <v>247</v>
      </c>
      <c r="B907" s="13" t="n">
        <v>15</v>
      </c>
      <c r="C907" s="17" t="n">
        <f aca="false">B907/100*Notas!$B$3</f>
        <v>14.25</v>
      </c>
      <c r="D907" s="17" t="n">
        <f aca="false">18.34/95*Notas!$B$3</f>
        <v>18.34</v>
      </c>
      <c r="E907" s="17" t="n">
        <f aca="false">13.8/95*Notas!$B$3</f>
        <v>13.8</v>
      </c>
      <c r="F907" s="13" t="n">
        <v>2</v>
      </c>
      <c r="G907" s="17" t="n">
        <f aca="false">8.64/95*Notas!$B$3</f>
        <v>8.64</v>
      </c>
      <c r="H907" s="17" t="n">
        <f aca="false">12.52/95*Notas!$B$3</f>
        <v>12.52</v>
      </c>
      <c r="I907" s="17" t="n">
        <f aca="false">35.15/95*Notas!$B$3</f>
        <v>35.15</v>
      </c>
      <c r="J907" s="17" t="n">
        <f aca="false">70/95*Notas!$B$3</f>
        <v>70</v>
      </c>
    </row>
    <row r="908" customFormat="false" ht="15" hidden="false" customHeight="false" outlineLevel="0" collapsed="false">
      <c r="A908" s="13" t="s">
        <v>247</v>
      </c>
      <c r="B908" s="13" t="n">
        <v>16</v>
      </c>
      <c r="C908" s="17" t="n">
        <f aca="false">B908/100*Notas!$B$3</f>
        <v>15.2</v>
      </c>
      <c r="D908" s="17" t="n">
        <f aca="false">18.28/95*Notas!$B$3</f>
        <v>18.28</v>
      </c>
      <c r="E908" s="17" t="n">
        <f aca="false">13.8/95*Notas!$B$3</f>
        <v>13.8</v>
      </c>
      <c r="F908" s="13" t="n">
        <v>2</v>
      </c>
      <c r="G908" s="17" t="n">
        <f aca="false">8.58/95*Notas!$B$3</f>
        <v>8.58</v>
      </c>
      <c r="H908" s="17" t="n">
        <f aca="false">12.51/95*Notas!$B$3</f>
        <v>12.51</v>
      </c>
      <c r="I908" s="17" t="n">
        <f aca="false">35.01/95*Notas!$B$3</f>
        <v>35.01</v>
      </c>
      <c r="J908" s="17" t="n">
        <f aca="false">69.6/95*Notas!$B$3</f>
        <v>69.6</v>
      </c>
    </row>
    <row r="909" customFormat="false" ht="15" hidden="false" customHeight="false" outlineLevel="0" collapsed="false">
      <c r="A909" s="13" t="s">
        <v>247</v>
      </c>
      <c r="B909" s="13" t="n">
        <v>17</v>
      </c>
      <c r="C909" s="17" t="n">
        <f aca="false">B909/100*Notas!$B$3</f>
        <v>16.15</v>
      </c>
      <c r="D909" s="17" t="n">
        <f aca="false">18.23/95*Notas!$B$3</f>
        <v>18.23</v>
      </c>
      <c r="E909" s="17" t="n">
        <f aca="false">13.76/95*Notas!$B$3</f>
        <v>13.76</v>
      </c>
      <c r="F909" s="13" t="n">
        <v>2</v>
      </c>
      <c r="G909" s="17" t="n">
        <f aca="false">8.54/95*Notas!$B$3</f>
        <v>8.54</v>
      </c>
      <c r="H909" s="17" t="n">
        <f aca="false">12.5/95*Notas!$B$3</f>
        <v>12.5</v>
      </c>
      <c r="I909" s="17" t="n">
        <f aca="false">34.92/95*Notas!$B$3</f>
        <v>34.92</v>
      </c>
      <c r="J909" s="17" t="n">
        <f aca="false">69.35/95*Notas!$B$3</f>
        <v>69.35</v>
      </c>
    </row>
    <row r="910" customFormat="false" ht="15" hidden="false" customHeight="false" outlineLevel="0" collapsed="false">
      <c r="A910" s="13" t="s">
        <v>247</v>
      </c>
      <c r="B910" s="13" t="n">
        <v>18</v>
      </c>
      <c r="C910" s="17" t="n">
        <f aca="false">B910/100*Notas!$B$3</f>
        <v>17.1</v>
      </c>
      <c r="D910" s="17" t="n">
        <f aca="false">18.18/95*Notas!$B$3</f>
        <v>18.18</v>
      </c>
      <c r="E910" s="17" t="n">
        <f aca="false">13.71/95*Notas!$B$3</f>
        <v>13.71</v>
      </c>
      <c r="F910" s="13" t="n">
        <v>2</v>
      </c>
      <c r="G910" s="17" t="n">
        <f aca="false">8.54/95*Notas!$B$3</f>
        <v>8.54</v>
      </c>
      <c r="H910" s="17" t="n">
        <f aca="false">12.49/95*Notas!$B$3</f>
        <v>12.49</v>
      </c>
      <c r="I910" s="17" t="n">
        <f aca="false">34.92/95*Notas!$B$3</f>
        <v>34.92</v>
      </c>
      <c r="J910" s="17" t="n">
        <f aca="false">69.25/95*Notas!$B$3</f>
        <v>69.25</v>
      </c>
    </row>
    <row r="911" customFormat="false" ht="15" hidden="false" customHeight="false" outlineLevel="0" collapsed="false">
      <c r="A911" s="13" t="s">
        <v>247</v>
      </c>
      <c r="B911" s="13" t="n">
        <v>19</v>
      </c>
      <c r="C911" s="17" t="n">
        <f aca="false">B911/100*Notas!$B$3</f>
        <v>18.05</v>
      </c>
      <c r="D911" s="17" t="n">
        <f aca="false">18.13/95*Notas!$B$3</f>
        <v>18.13</v>
      </c>
      <c r="E911" s="17" t="n">
        <f aca="false">13.66/95*Notas!$B$3</f>
        <v>13.66</v>
      </c>
      <c r="F911" s="13" t="n">
        <v>2</v>
      </c>
      <c r="G911" s="17" t="n">
        <f aca="false">8.53/95*Notas!$B$3</f>
        <v>8.53</v>
      </c>
      <c r="H911" s="17" t="n">
        <f aca="false">12.47/95*Notas!$B$3</f>
        <v>12.47</v>
      </c>
      <c r="I911" s="17" t="n">
        <f aca="false">34.93/95*Notas!$B$3</f>
        <v>34.93</v>
      </c>
      <c r="J911" s="17" t="n">
        <f aca="false">69.29/95*Notas!$B$3</f>
        <v>69.29</v>
      </c>
    </row>
    <row r="912" customFormat="false" ht="15" hidden="false" customHeight="false" outlineLevel="0" collapsed="false">
      <c r="A912" s="13" t="s">
        <v>247</v>
      </c>
      <c r="B912" s="13" t="n">
        <v>20</v>
      </c>
      <c r="C912" s="17" t="n">
        <f aca="false">B912/100*Notas!$B$3</f>
        <v>19</v>
      </c>
      <c r="D912" s="17" t="n">
        <f aca="false">18.08/95*Notas!$B$3</f>
        <v>18.08</v>
      </c>
      <c r="E912" s="17" t="n">
        <f aca="false">13.61/95*Notas!$B$3</f>
        <v>13.61</v>
      </c>
      <c r="F912" s="13" t="n">
        <v>2</v>
      </c>
      <c r="G912" s="17" t="n">
        <f aca="false">8.52/95*Notas!$B$3</f>
        <v>8.52</v>
      </c>
      <c r="H912" s="17" t="n">
        <f aca="false">12.46/95*Notas!$B$3</f>
        <v>12.46</v>
      </c>
      <c r="I912" s="17" t="n">
        <f aca="false">34.95/95*Notas!$B$3</f>
        <v>34.95</v>
      </c>
      <c r="J912" s="17" t="n">
        <f aca="false">69.41/95*Notas!$B$3</f>
        <v>69.41</v>
      </c>
    </row>
    <row r="913" customFormat="false" ht="15" hidden="false" customHeight="false" outlineLevel="0" collapsed="false">
      <c r="A913" s="13" t="s">
        <v>247</v>
      </c>
      <c r="B913" s="13" t="n">
        <v>21</v>
      </c>
      <c r="C913" s="17" t="n">
        <f aca="false">B913/100*Notas!$B$3</f>
        <v>19.95</v>
      </c>
      <c r="D913" s="17" t="n">
        <f aca="false">30.76/95*Notas!$B$3</f>
        <v>30.76</v>
      </c>
      <c r="E913" s="17" t="n">
        <f aca="false">16.29/95*Notas!$B$3</f>
        <v>16.29</v>
      </c>
      <c r="F913" s="13" t="n">
        <v>4</v>
      </c>
      <c r="G913" s="17" t="n">
        <f aca="false">8.52/95*Notas!$B$3</f>
        <v>8.52</v>
      </c>
      <c r="H913" s="17" t="n">
        <f aca="false">12.45/95*Notas!$B$3</f>
        <v>12.45</v>
      </c>
      <c r="I913" s="17" t="n">
        <f aca="false">34.99/95*Notas!$B$3</f>
        <v>34.99</v>
      </c>
      <c r="J913" s="17" t="n">
        <f aca="false">102.79/95*Notas!$B$3</f>
        <v>102.79</v>
      </c>
    </row>
    <row r="914" customFormat="false" ht="15" hidden="false" customHeight="false" outlineLevel="0" collapsed="false">
      <c r="A914" s="13" t="s">
        <v>247</v>
      </c>
      <c r="B914" s="13" t="n">
        <v>22</v>
      </c>
      <c r="C914" s="17" t="n">
        <f aca="false">B914/100*Notas!$B$3</f>
        <v>20.9</v>
      </c>
      <c r="D914" s="17" t="n">
        <f aca="false">33.29/95*Notas!$B$3</f>
        <v>33.29</v>
      </c>
      <c r="E914" s="17" t="n">
        <f aca="false">17.52/95*Notas!$B$3</f>
        <v>17.52</v>
      </c>
      <c r="F914" s="13" t="n">
        <v>4</v>
      </c>
      <c r="G914" s="17" t="n">
        <f aca="false">8.57/95*Notas!$B$3</f>
        <v>8.57</v>
      </c>
      <c r="H914" s="17" t="n">
        <f aca="false">12.49/95*Notas!$B$3</f>
        <v>12.49</v>
      </c>
      <c r="I914" s="17" t="n">
        <f aca="false">35.14/95*Notas!$B$3</f>
        <v>35.14</v>
      </c>
      <c r="J914" s="17" t="n">
        <f aca="false">114.64/95*Notas!$B$3</f>
        <v>114.64</v>
      </c>
    </row>
    <row r="915" customFormat="false" ht="15" hidden="false" customHeight="false" outlineLevel="0" collapsed="false">
      <c r="A915" s="13" t="s">
        <v>247</v>
      </c>
      <c r="B915" s="13" t="n">
        <v>23</v>
      </c>
      <c r="C915" s="17" t="n">
        <f aca="false">B915/100*Notas!$B$3</f>
        <v>21.85</v>
      </c>
      <c r="D915" s="17" t="n">
        <f aca="false">34.36/95*Notas!$B$3</f>
        <v>34.36</v>
      </c>
      <c r="E915" s="17" t="n">
        <f aca="false">17.73/95*Notas!$B$3</f>
        <v>17.73</v>
      </c>
      <c r="F915" s="13" t="n">
        <v>4</v>
      </c>
      <c r="G915" s="17" t="n">
        <f aca="false">8.63/95*Notas!$B$3</f>
        <v>8.63</v>
      </c>
      <c r="H915" s="17" t="n">
        <f aca="false">12.58/95*Notas!$B$3</f>
        <v>12.58</v>
      </c>
      <c r="I915" s="17" t="n">
        <f aca="false">35.38/95*Notas!$B$3</f>
        <v>35.38</v>
      </c>
      <c r="J915" s="17" t="n">
        <f aca="false">117.08/95*Notas!$B$3</f>
        <v>117.08</v>
      </c>
    </row>
    <row r="916" customFormat="false" ht="15" hidden="false" customHeight="false" outlineLevel="0" collapsed="false">
      <c r="A916" s="13" t="s">
        <v>247</v>
      </c>
      <c r="B916" s="13" t="n">
        <v>24</v>
      </c>
      <c r="C916" s="17" t="n">
        <f aca="false">B916/100*Notas!$B$3</f>
        <v>22.8</v>
      </c>
      <c r="D916" s="17" t="n">
        <f aca="false">35.44/95*Notas!$B$3</f>
        <v>35.44</v>
      </c>
      <c r="E916" s="17" t="n">
        <f aca="false">17.8/95*Notas!$B$3</f>
        <v>17.8</v>
      </c>
      <c r="F916" s="13" t="n">
        <v>3</v>
      </c>
      <c r="G916" s="17" t="n">
        <f aca="false">18.03/95*Notas!$B$3</f>
        <v>18.03</v>
      </c>
      <c r="H916" s="17" t="n">
        <f aca="false">13.66/95*Notas!$B$3</f>
        <v>13.66</v>
      </c>
      <c r="I916" s="17" t="n">
        <f aca="false">61.04/95*Notas!$B$3</f>
        <v>61.04</v>
      </c>
      <c r="J916" s="17" t="n">
        <f aca="false">109.12/95*Notas!$B$3</f>
        <v>109.12</v>
      </c>
    </row>
    <row r="917" customFormat="false" ht="15" hidden="false" customHeight="false" outlineLevel="0" collapsed="false">
      <c r="A917" s="13" t="s">
        <v>247</v>
      </c>
      <c r="B917" s="13" t="n">
        <v>25</v>
      </c>
      <c r="C917" s="17" t="n">
        <f aca="false">B917/100*Notas!$B$3</f>
        <v>23.75</v>
      </c>
      <c r="D917" s="17" t="n">
        <f aca="false">36.45/95*Notas!$B$3</f>
        <v>36.45</v>
      </c>
      <c r="E917" s="17" t="n">
        <f aca="false">17.73/95*Notas!$B$3</f>
        <v>17.73</v>
      </c>
      <c r="F917" s="13" t="n">
        <v>3</v>
      </c>
      <c r="G917" s="17" t="n">
        <f aca="false">18.34/95*Notas!$B$3</f>
        <v>18.34</v>
      </c>
      <c r="H917" s="17" t="n">
        <f aca="false">13.74/95*Notas!$B$3</f>
        <v>13.74</v>
      </c>
      <c r="I917" s="17" t="n">
        <f aca="false">56.44/95*Notas!$B$3</f>
        <v>56.44</v>
      </c>
      <c r="J917" s="17" t="n">
        <f aca="false">106.06/95*Notas!$B$3</f>
        <v>106.06</v>
      </c>
    </row>
    <row r="918" customFormat="false" ht="15" hidden="false" customHeight="false" outlineLevel="0" collapsed="false">
      <c r="A918" s="13" t="s">
        <v>247</v>
      </c>
      <c r="B918" s="13" t="n">
        <v>26</v>
      </c>
      <c r="C918" s="17" t="n">
        <f aca="false">B918/100*Notas!$B$3</f>
        <v>24.7</v>
      </c>
      <c r="D918" s="17" t="n">
        <f aca="false">36.75/95*Notas!$B$3</f>
        <v>36.75</v>
      </c>
      <c r="E918" s="17" t="n">
        <f aca="false">17.77/95*Notas!$B$3</f>
        <v>17.77</v>
      </c>
      <c r="F918" s="13" t="n">
        <v>5</v>
      </c>
      <c r="G918" s="17" t="n">
        <f aca="false">18.66/95*Notas!$B$3</f>
        <v>18.66</v>
      </c>
      <c r="H918" s="17" t="n">
        <f aca="false">14.13/95*Notas!$B$3</f>
        <v>14.13</v>
      </c>
      <c r="I918" s="17" t="n">
        <f aca="false">56.73/95*Notas!$B$3</f>
        <v>56.73</v>
      </c>
      <c r="J918" s="17" t="n">
        <f aca="false">122.39/95*Notas!$B$3</f>
        <v>122.39</v>
      </c>
    </row>
    <row r="919" customFormat="false" ht="15" hidden="false" customHeight="false" outlineLevel="0" collapsed="false">
      <c r="A919" s="13" t="s">
        <v>247</v>
      </c>
      <c r="B919" s="13" t="n">
        <v>27</v>
      </c>
      <c r="C919" s="17" t="n">
        <f aca="false">B919/100*Notas!$B$3</f>
        <v>25.65</v>
      </c>
      <c r="D919" s="17" t="n">
        <f aca="false">36.22/95*Notas!$B$3</f>
        <v>36.22</v>
      </c>
      <c r="E919" s="17" t="n">
        <f aca="false">18.28/95*Notas!$B$3</f>
        <v>18.28</v>
      </c>
      <c r="F919" s="13" t="n">
        <v>5</v>
      </c>
      <c r="G919" s="17" t="n">
        <f aca="false">18.6/95*Notas!$B$3</f>
        <v>18.6</v>
      </c>
      <c r="H919" s="17" t="n">
        <f aca="false">14.81/95*Notas!$B$3</f>
        <v>14.81</v>
      </c>
      <c r="I919" s="17" t="n">
        <f aca="false">57.6/95*Notas!$B$3</f>
        <v>57.6</v>
      </c>
      <c r="J919" s="17" t="n">
        <f aca="false">127.15/95*Notas!$B$3</f>
        <v>127.15</v>
      </c>
    </row>
    <row r="920" customFormat="false" ht="15" hidden="false" customHeight="false" outlineLevel="0" collapsed="false">
      <c r="A920" s="13" t="s">
        <v>247</v>
      </c>
      <c r="B920" s="13" t="n">
        <v>28</v>
      </c>
      <c r="C920" s="17" t="n">
        <f aca="false">B920/100*Notas!$B$3</f>
        <v>26.6</v>
      </c>
      <c r="D920" s="17" t="n">
        <f aca="false">35.69/95*Notas!$B$3</f>
        <v>35.69</v>
      </c>
      <c r="E920" s="17" t="n">
        <f aca="false">18.38/95*Notas!$B$3</f>
        <v>18.38</v>
      </c>
      <c r="F920" s="13" t="n">
        <v>3</v>
      </c>
      <c r="G920" s="17" t="n">
        <f aca="false">18.42/95*Notas!$B$3</f>
        <v>18.42</v>
      </c>
      <c r="H920" s="17" t="n">
        <f aca="false">15.51/95*Notas!$B$3</f>
        <v>15.51</v>
      </c>
      <c r="I920" s="17" t="n">
        <f aca="false">58.46/95*Notas!$B$3</f>
        <v>58.46</v>
      </c>
      <c r="J920" s="17" t="n">
        <f aca="false">122.44/95*Notas!$B$3</f>
        <v>122.44</v>
      </c>
    </row>
    <row r="921" customFormat="false" ht="15" hidden="false" customHeight="false" outlineLevel="0" collapsed="false">
      <c r="A921" s="13" t="s">
        <v>247</v>
      </c>
      <c r="B921" s="13" t="n">
        <v>29</v>
      </c>
      <c r="C921" s="17" t="n">
        <f aca="false">B921/100*Notas!$B$3</f>
        <v>27.55</v>
      </c>
      <c r="D921" s="17" t="n">
        <f aca="false">35.16/95*Notas!$B$3</f>
        <v>35.16</v>
      </c>
      <c r="E921" s="17" t="n">
        <f aca="false">18.92/95*Notas!$B$3</f>
        <v>18.92</v>
      </c>
      <c r="F921" s="13" t="n">
        <v>4</v>
      </c>
      <c r="G921" s="17" t="n">
        <f aca="false">2.51/95*Notas!$B$3</f>
        <v>2.51</v>
      </c>
      <c r="H921" s="17" t="n">
        <f aca="false">2.18/95*Notas!$B$3</f>
        <v>2.18</v>
      </c>
      <c r="I921" s="17" t="n">
        <f aca="false">7.5/95*Notas!$B$3</f>
        <v>7.5</v>
      </c>
      <c r="J921" s="17" t="n">
        <f aca="false">126.37/95*Notas!$B$3</f>
        <v>126.37</v>
      </c>
    </row>
    <row r="922" customFormat="false" ht="15" hidden="false" customHeight="false" outlineLevel="0" collapsed="false">
      <c r="A922" s="13" t="s">
        <v>247</v>
      </c>
      <c r="B922" s="13" t="n">
        <v>30</v>
      </c>
      <c r="C922" s="17" t="n">
        <f aca="false">B922/100*Notas!$B$3</f>
        <v>28.5</v>
      </c>
      <c r="D922" s="17" t="n">
        <f aca="false">34.67/95*Notas!$B$3</f>
        <v>34.67</v>
      </c>
      <c r="E922" s="17" t="n">
        <f aca="false">19.4/95*Notas!$B$3</f>
        <v>19.4</v>
      </c>
      <c r="F922" s="13" t="n">
        <v>3</v>
      </c>
      <c r="G922" s="17" t="n">
        <f aca="false">17.99/95*Notas!$B$3</f>
        <v>17.99</v>
      </c>
      <c r="H922" s="17" t="n">
        <f aca="false">19.4/95*Notas!$B$3</f>
        <v>19.4</v>
      </c>
      <c r="I922" s="17" t="n">
        <f aca="false">63.06/95*Notas!$B$3</f>
        <v>63.06</v>
      </c>
      <c r="J922" s="17" t="n">
        <f aca="false">119.03/95*Notas!$B$3</f>
        <v>119.03</v>
      </c>
    </row>
    <row r="923" customFormat="false" ht="15" hidden="false" customHeight="false" outlineLevel="0" collapsed="false">
      <c r="A923" s="13" t="s">
        <v>247</v>
      </c>
      <c r="B923" s="13" t="n">
        <v>31</v>
      </c>
      <c r="C923" s="17" t="n">
        <f aca="false">B923/100*Notas!$B$3</f>
        <v>29.45</v>
      </c>
      <c r="D923" s="17" t="n">
        <f aca="false">34.18/95*Notas!$B$3</f>
        <v>34.18</v>
      </c>
      <c r="E923" s="17" t="n">
        <f aca="false">20/95*Notas!$B$3</f>
        <v>20</v>
      </c>
      <c r="F923" s="13" t="n">
        <v>3</v>
      </c>
      <c r="G923" s="17" t="n">
        <f aca="false">17.67/95*Notas!$B$3</f>
        <v>17.67</v>
      </c>
      <c r="H923" s="17" t="n">
        <f aca="false">20/95*Notas!$B$3</f>
        <v>20</v>
      </c>
      <c r="I923" s="17" t="n">
        <f aca="false">65.19/95*Notas!$B$3</f>
        <v>65.19</v>
      </c>
      <c r="J923" s="17" t="n">
        <f aca="false">117.47/95*Notas!$B$3</f>
        <v>117.47</v>
      </c>
    </row>
    <row r="924" customFormat="false" ht="15" hidden="false" customHeight="false" outlineLevel="0" collapsed="false">
      <c r="A924" s="13" t="s">
        <v>247</v>
      </c>
      <c r="B924" s="13" t="n">
        <v>32</v>
      </c>
      <c r="C924" s="17" t="n">
        <f aca="false">B924/100*Notas!$B$3</f>
        <v>30.4</v>
      </c>
      <c r="D924" s="17" t="n">
        <f aca="false">33.71/95*Notas!$B$3</f>
        <v>33.71</v>
      </c>
      <c r="E924" s="17" t="n">
        <f aca="false">19.86/95*Notas!$B$3</f>
        <v>19.86</v>
      </c>
      <c r="F924" s="13" t="n">
        <v>3</v>
      </c>
      <c r="G924" s="17" t="n">
        <f aca="false">17.45/95*Notas!$B$3</f>
        <v>17.45</v>
      </c>
      <c r="H924" s="17" t="n">
        <f aca="false">19.86/95*Notas!$B$3</f>
        <v>19.86</v>
      </c>
      <c r="I924" s="17" t="n">
        <f aca="false">65.04/95*Notas!$B$3</f>
        <v>65.04</v>
      </c>
      <c r="J924" s="17" t="n">
        <f aca="false">114.24/95*Notas!$B$3</f>
        <v>114.24</v>
      </c>
    </row>
    <row r="925" customFormat="false" ht="15" hidden="false" customHeight="false" outlineLevel="0" collapsed="false">
      <c r="A925" s="13" t="s">
        <v>247</v>
      </c>
      <c r="B925" s="13" t="n">
        <v>33</v>
      </c>
      <c r="C925" s="17" t="n">
        <f aca="false">B925/100*Notas!$B$3</f>
        <v>31.35</v>
      </c>
      <c r="D925" s="17" t="n">
        <f aca="false">33.25/95*Notas!$B$3</f>
        <v>33.25</v>
      </c>
      <c r="E925" s="17" t="n">
        <f aca="false">19.51/95*Notas!$B$3</f>
        <v>19.51</v>
      </c>
      <c r="F925" s="13" t="n">
        <v>3</v>
      </c>
      <c r="G925" s="17" t="n">
        <f aca="false">17.69/95*Notas!$B$3</f>
        <v>17.69</v>
      </c>
      <c r="H925" s="17" t="n">
        <f aca="false">19.51/95*Notas!$B$3</f>
        <v>19.51</v>
      </c>
      <c r="I925" s="17" t="n">
        <f aca="false">63.55/95*Notas!$B$3</f>
        <v>63.55</v>
      </c>
      <c r="J925" s="17" t="n">
        <f aca="false">111.02/95*Notas!$B$3</f>
        <v>111.02</v>
      </c>
    </row>
    <row r="926" customFormat="false" ht="15" hidden="false" customHeight="false" outlineLevel="0" collapsed="false">
      <c r="A926" s="13" t="s">
        <v>247</v>
      </c>
      <c r="B926" s="13" t="n">
        <v>34</v>
      </c>
      <c r="C926" s="17" t="n">
        <f aca="false">B926/100*Notas!$B$3</f>
        <v>32.3</v>
      </c>
      <c r="D926" s="17" t="n">
        <f aca="false">32.79/95*Notas!$B$3</f>
        <v>32.79</v>
      </c>
      <c r="E926" s="17" t="n">
        <f aca="false">19.16/95*Notas!$B$3</f>
        <v>19.16</v>
      </c>
      <c r="F926" s="13" t="n">
        <v>3</v>
      </c>
      <c r="G926" s="17" t="n">
        <f aca="false">25.15/95*Notas!$B$3</f>
        <v>25.15</v>
      </c>
      <c r="H926" s="17" t="n">
        <f aca="false">19.16/95*Notas!$B$3</f>
        <v>19.16</v>
      </c>
      <c r="I926" s="17" t="n">
        <f aca="false">81.78/95*Notas!$B$3</f>
        <v>81.78</v>
      </c>
      <c r="J926" s="17" t="n">
        <f aca="false">127.48/95*Notas!$B$3</f>
        <v>127.48</v>
      </c>
    </row>
    <row r="927" customFormat="false" ht="15" hidden="false" customHeight="false" outlineLevel="0" collapsed="false">
      <c r="A927" s="13" t="s">
        <v>247</v>
      </c>
      <c r="B927" s="13" t="n">
        <v>35</v>
      </c>
      <c r="C927" s="17" t="n">
        <f aca="false">B927/100*Notas!$B$3</f>
        <v>33.25</v>
      </c>
      <c r="D927" s="17" t="n">
        <f aca="false">32.34/95*Notas!$B$3</f>
        <v>32.34</v>
      </c>
      <c r="E927" s="17" t="n">
        <f aca="false">18.82/95*Notas!$B$3</f>
        <v>18.82</v>
      </c>
      <c r="F927" s="13" t="n">
        <v>1</v>
      </c>
      <c r="G927" s="17" t="n">
        <f aca="false">32.34/95*Notas!$B$3</f>
        <v>32.34</v>
      </c>
      <c r="H927" s="17" t="n">
        <f aca="false">18.82/95*Notas!$B$3</f>
        <v>18.82</v>
      </c>
      <c r="I927" s="17" t="n">
        <f aca="false">112.53/95*Notas!$B$3</f>
        <v>112.53</v>
      </c>
      <c r="J927" s="17" t="n">
        <f aca="false">112.53/95*Notas!$B$3</f>
        <v>112.53</v>
      </c>
    </row>
    <row r="928" customFormat="false" ht="15" hidden="false" customHeight="false" outlineLevel="0" collapsed="false">
      <c r="A928" s="13" t="s">
        <v>247</v>
      </c>
      <c r="B928" s="13" t="n">
        <v>36</v>
      </c>
      <c r="C928" s="17" t="n">
        <f aca="false">B928/100*Notas!$B$3</f>
        <v>34.2</v>
      </c>
      <c r="D928" s="17" t="n">
        <f aca="false">33.82/95*Notas!$B$3</f>
        <v>33.82</v>
      </c>
      <c r="E928" s="17" t="n">
        <f aca="false">19.01/95*Notas!$B$3</f>
        <v>19.01</v>
      </c>
      <c r="F928" s="13" t="n">
        <v>1</v>
      </c>
      <c r="G928" s="17" t="n">
        <f aca="false">33.82/95*Notas!$B$3</f>
        <v>33.82</v>
      </c>
      <c r="H928" s="17" t="n">
        <f aca="false">19.01/95*Notas!$B$3</f>
        <v>19.01</v>
      </c>
      <c r="I928" s="17" t="n">
        <f aca="false">112.45/95*Notas!$B$3</f>
        <v>112.45</v>
      </c>
      <c r="J928" s="17" t="n">
        <f aca="false">112.45/95*Notas!$B$3</f>
        <v>112.45</v>
      </c>
    </row>
    <row r="929" customFormat="false" ht="15" hidden="false" customHeight="false" outlineLevel="0" collapsed="false">
      <c r="A929" s="13" t="s">
        <v>247</v>
      </c>
      <c r="B929" s="13" t="n">
        <v>37</v>
      </c>
      <c r="C929" s="17" t="n">
        <f aca="false">B929/100*Notas!$B$3</f>
        <v>35.15</v>
      </c>
      <c r="D929" s="17" t="n">
        <f aca="false">35.16/95*Notas!$B$3</f>
        <v>35.16</v>
      </c>
      <c r="E929" s="17" t="n">
        <f aca="false">19.18/95*Notas!$B$3</f>
        <v>19.18</v>
      </c>
      <c r="F929" s="13" t="n">
        <v>1</v>
      </c>
      <c r="G929" s="17" t="n">
        <f aca="false">35.16/95*Notas!$B$3</f>
        <v>35.16</v>
      </c>
      <c r="H929" s="17" t="n">
        <f aca="false">19.18/95*Notas!$B$3</f>
        <v>19.18</v>
      </c>
      <c r="I929" s="17" t="n">
        <f aca="false">110.33/95*Notas!$B$3</f>
        <v>110.33</v>
      </c>
      <c r="J929" s="17" t="n">
        <f aca="false">110.33/95*Notas!$B$3</f>
        <v>110.33</v>
      </c>
    </row>
    <row r="930" customFormat="false" ht="15" hidden="false" customHeight="false" outlineLevel="0" collapsed="false">
      <c r="A930" s="13" t="s">
        <v>247</v>
      </c>
      <c r="B930" s="13" t="n">
        <v>38</v>
      </c>
      <c r="C930" s="17" t="n">
        <f aca="false">B930/100*Notas!$B$3</f>
        <v>36.1</v>
      </c>
      <c r="D930" s="17" t="n">
        <f aca="false">34.74/95*Notas!$B$3</f>
        <v>34.74</v>
      </c>
      <c r="E930" s="17" t="n">
        <f aca="false">19.19/95*Notas!$B$3</f>
        <v>19.19</v>
      </c>
      <c r="F930" s="13" t="n">
        <v>1</v>
      </c>
      <c r="G930" s="17" t="n">
        <f aca="false">34.74/95*Notas!$B$3</f>
        <v>34.74</v>
      </c>
      <c r="H930" s="17" t="n">
        <f aca="false">19.19/95*Notas!$B$3</f>
        <v>19.19</v>
      </c>
      <c r="I930" s="17" t="n">
        <f aca="false">111.62/95*Notas!$B$3</f>
        <v>111.62</v>
      </c>
      <c r="J930" s="17" t="n">
        <f aca="false">111.62/95*Notas!$B$3</f>
        <v>111.62</v>
      </c>
    </row>
    <row r="931" customFormat="false" ht="15" hidden="false" customHeight="false" outlineLevel="0" collapsed="false">
      <c r="A931" s="13" t="s">
        <v>247</v>
      </c>
      <c r="B931" s="13" t="n">
        <v>39</v>
      </c>
      <c r="C931" s="17" t="n">
        <f aca="false">B931/100*Notas!$B$3</f>
        <v>37.05</v>
      </c>
      <c r="D931" s="17" t="n">
        <f aca="false">34.31/95*Notas!$B$3</f>
        <v>34.31</v>
      </c>
      <c r="E931" s="17" t="n">
        <f aca="false">19.17/95*Notas!$B$3</f>
        <v>19.17</v>
      </c>
      <c r="F931" s="13" t="n">
        <v>2</v>
      </c>
      <c r="G931" s="17" t="n">
        <f aca="false">34.31/95*Notas!$B$3</f>
        <v>34.31</v>
      </c>
      <c r="H931" s="17" t="n">
        <f aca="false">19.17/95*Notas!$B$3</f>
        <v>19.17</v>
      </c>
      <c r="I931" s="17" t="n">
        <f aca="false">115.82/95*Notas!$B$3</f>
        <v>115.82</v>
      </c>
      <c r="J931" s="17" t="n">
        <f aca="false">118.81/95*Notas!$B$3</f>
        <v>118.81</v>
      </c>
    </row>
    <row r="932" customFormat="false" ht="15" hidden="false" customHeight="false" outlineLevel="0" collapsed="false">
      <c r="A932" s="13" t="s">
        <v>247</v>
      </c>
      <c r="B932" s="13" t="n">
        <v>40</v>
      </c>
      <c r="C932" s="17" t="n">
        <f aca="false">B932/100*Notas!$B$3</f>
        <v>38</v>
      </c>
      <c r="D932" s="17" t="n">
        <f aca="false">33.89/95*Notas!$B$3</f>
        <v>33.89</v>
      </c>
      <c r="E932" s="17" t="n">
        <f aca="false">18.34/95*Notas!$B$3</f>
        <v>18.34</v>
      </c>
      <c r="F932" s="13" t="n">
        <v>2</v>
      </c>
      <c r="G932" s="17" t="n">
        <f aca="false">24.84/95*Notas!$B$3</f>
        <v>24.84</v>
      </c>
      <c r="H932" s="17" t="n">
        <f aca="false">18.34/95*Notas!$B$3</f>
        <v>18.34</v>
      </c>
      <c r="I932" s="17" t="n">
        <f aca="false">90.25/95*Notas!$B$3</f>
        <v>90.25</v>
      </c>
      <c r="J932" s="17" t="n">
        <f aca="false">123.79/95*Notas!$B$3</f>
        <v>123.79</v>
      </c>
    </row>
    <row r="933" customFormat="false" ht="15" hidden="false" customHeight="false" outlineLevel="0" collapsed="false">
      <c r="A933" s="13" t="s">
        <v>247</v>
      </c>
      <c r="B933" s="13" t="n">
        <v>41</v>
      </c>
      <c r="C933" s="17" t="n">
        <f aca="false">B933/100*Notas!$B$3</f>
        <v>38.95</v>
      </c>
      <c r="D933" s="17" t="n">
        <f aca="false">33.55/95*Notas!$B$3</f>
        <v>33.55</v>
      </c>
      <c r="E933" s="17" t="n">
        <f aca="false">17.28/95*Notas!$B$3</f>
        <v>17.28</v>
      </c>
      <c r="F933" s="13" t="n">
        <v>3</v>
      </c>
      <c r="G933" s="17" t="n">
        <f aca="false">15.26/95*Notas!$B$3</f>
        <v>15.26</v>
      </c>
      <c r="H933" s="17" t="n">
        <f aca="false">17.28/95*Notas!$B$3</f>
        <v>17.28</v>
      </c>
      <c r="I933" s="17" t="n">
        <f aca="false">54.13/95*Notas!$B$3</f>
        <v>54.13</v>
      </c>
      <c r="J933" s="17" t="n">
        <f aca="false">116.86/95*Notas!$B$3</f>
        <v>116.86</v>
      </c>
    </row>
    <row r="934" customFormat="false" ht="15" hidden="false" customHeight="false" outlineLevel="0" collapsed="false">
      <c r="A934" s="13" t="s">
        <v>247</v>
      </c>
      <c r="B934" s="13" t="n">
        <v>42</v>
      </c>
      <c r="C934" s="17" t="n">
        <f aca="false">B934/100*Notas!$B$3</f>
        <v>39.9</v>
      </c>
      <c r="D934" s="17" t="n">
        <f aca="false">29.74/95*Notas!$B$3</f>
        <v>29.74</v>
      </c>
      <c r="E934" s="17" t="n">
        <f aca="false">17.41/95*Notas!$B$3</f>
        <v>17.41</v>
      </c>
      <c r="F934" s="13" t="n">
        <v>1</v>
      </c>
      <c r="G934" s="17" t="n">
        <f aca="false">29.74/95*Notas!$B$3</f>
        <v>29.74</v>
      </c>
      <c r="H934" s="17" t="n">
        <f aca="false">17.41/95*Notas!$B$3</f>
        <v>17.41</v>
      </c>
      <c r="I934" s="17" t="n">
        <f aca="false">93.5/95*Notas!$B$3</f>
        <v>93.5</v>
      </c>
      <c r="J934" s="17" t="n">
        <f aca="false">93.5/95*Notas!$B$3</f>
        <v>93.5</v>
      </c>
    </row>
    <row r="935" customFormat="false" ht="15" hidden="false" customHeight="false" outlineLevel="0" collapsed="false">
      <c r="A935" s="13" t="s">
        <v>247</v>
      </c>
      <c r="B935" s="13" t="n">
        <v>43</v>
      </c>
      <c r="C935" s="17" t="n">
        <f aca="false">B935/100*Notas!$B$3</f>
        <v>40.85</v>
      </c>
      <c r="D935" s="17" t="n">
        <f aca="false">29.31/95*Notas!$B$3</f>
        <v>29.31</v>
      </c>
      <c r="E935" s="17" t="n">
        <f aca="false">17.59/95*Notas!$B$3</f>
        <v>17.59</v>
      </c>
      <c r="F935" s="13" t="n">
        <v>1</v>
      </c>
      <c r="G935" s="17" t="n">
        <f aca="false">29.31/95*Notas!$B$3</f>
        <v>29.31</v>
      </c>
      <c r="H935" s="17" t="n">
        <f aca="false">17.59/95*Notas!$B$3</f>
        <v>17.59</v>
      </c>
      <c r="I935" s="17" t="n">
        <f aca="false">87.44/95*Notas!$B$3</f>
        <v>87.44</v>
      </c>
      <c r="J935" s="17" t="n">
        <f aca="false">87.44/95*Notas!$B$3</f>
        <v>87.44</v>
      </c>
    </row>
    <row r="936" customFormat="false" ht="15" hidden="false" customHeight="false" outlineLevel="0" collapsed="false">
      <c r="A936" s="13" t="s">
        <v>247</v>
      </c>
      <c r="B936" s="13" t="n">
        <v>44</v>
      </c>
      <c r="C936" s="17" t="n">
        <f aca="false">B936/100*Notas!$B$3</f>
        <v>41.8</v>
      </c>
      <c r="D936" s="17" t="n">
        <f aca="false">28.85/95*Notas!$B$3</f>
        <v>28.85</v>
      </c>
      <c r="E936" s="17" t="n">
        <f aca="false">17.78/95*Notas!$B$3</f>
        <v>17.78</v>
      </c>
      <c r="F936" s="13" t="n">
        <v>1</v>
      </c>
      <c r="G936" s="17" t="n">
        <f aca="false">28.85/95*Notas!$B$3</f>
        <v>28.85</v>
      </c>
      <c r="H936" s="17" t="n">
        <f aca="false">17.78/95*Notas!$B$3</f>
        <v>17.78</v>
      </c>
      <c r="I936" s="17" t="n">
        <f aca="false">82.32/95*Notas!$B$3</f>
        <v>82.32</v>
      </c>
      <c r="J936" s="17" t="n">
        <f aca="false">82.32/95*Notas!$B$3</f>
        <v>82.32</v>
      </c>
    </row>
    <row r="937" customFormat="false" ht="15" hidden="false" customHeight="false" outlineLevel="0" collapsed="false">
      <c r="A937" s="13" t="s">
        <v>247</v>
      </c>
      <c r="B937" s="13" t="n">
        <v>45</v>
      </c>
      <c r="C937" s="17" t="n">
        <f aca="false">B937/100*Notas!$B$3</f>
        <v>42.75</v>
      </c>
      <c r="D937" s="17" t="n">
        <f aca="false">28.37/95*Notas!$B$3</f>
        <v>28.37</v>
      </c>
      <c r="E937" s="17" t="n">
        <f aca="false">17.86/95*Notas!$B$3</f>
        <v>17.86</v>
      </c>
      <c r="F937" s="13" t="n">
        <v>1</v>
      </c>
      <c r="G937" s="17" t="n">
        <f aca="false">28.37/95*Notas!$B$3</f>
        <v>28.37</v>
      </c>
      <c r="H937" s="17" t="n">
        <f aca="false">17.86/95*Notas!$B$3</f>
        <v>17.86</v>
      </c>
      <c r="I937" s="17" t="n">
        <f aca="false">79.64/95*Notas!$B$3</f>
        <v>79.64</v>
      </c>
      <c r="J937" s="17" t="n">
        <f aca="false">79.64/95*Notas!$B$3</f>
        <v>79.64</v>
      </c>
    </row>
    <row r="938" customFormat="false" ht="15" hidden="false" customHeight="false" outlineLevel="0" collapsed="false">
      <c r="A938" s="13" t="s">
        <v>247</v>
      </c>
      <c r="B938" s="13" t="n">
        <v>46</v>
      </c>
      <c r="C938" s="17" t="n">
        <f aca="false">B938/100*Notas!$B$3</f>
        <v>43.7</v>
      </c>
      <c r="D938" s="17" t="n">
        <f aca="false">27.85/95*Notas!$B$3</f>
        <v>27.85</v>
      </c>
      <c r="E938" s="17" t="n">
        <f aca="false">17.64/95*Notas!$B$3</f>
        <v>17.64</v>
      </c>
      <c r="F938" s="13" t="n">
        <v>1</v>
      </c>
      <c r="G938" s="17" t="n">
        <f aca="false">27.85/95*Notas!$B$3</f>
        <v>27.85</v>
      </c>
      <c r="H938" s="17" t="n">
        <f aca="false">17.64/95*Notas!$B$3</f>
        <v>17.64</v>
      </c>
      <c r="I938" s="17" t="n">
        <f aca="false">77.42/95*Notas!$B$3</f>
        <v>77.42</v>
      </c>
      <c r="J938" s="17" t="n">
        <f aca="false">77.42/95*Notas!$B$3</f>
        <v>77.42</v>
      </c>
    </row>
    <row r="939" customFormat="false" ht="15" hidden="false" customHeight="false" outlineLevel="0" collapsed="false">
      <c r="A939" s="13" t="s">
        <v>247</v>
      </c>
      <c r="B939" s="13" t="n">
        <v>47</v>
      </c>
      <c r="C939" s="17" t="n">
        <f aca="false">B939/100*Notas!$B$3</f>
        <v>44.65</v>
      </c>
      <c r="D939" s="17" t="n">
        <f aca="false">27.25/95*Notas!$B$3</f>
        <v>27.25</v>
      </c>
      <c r="E939" s="17" t="n">
        <f aca="false">17.34/95*Notas!$B$3</f>
        <v>17.34</v>
      </c>
      <c r="F939" s="13" t="n">
        <v>1</v>
      </c>
      <c r="G939" s="17" t="n">
        <f aca="false">27.25/95*Notas!$B$3</f>
        <v>27.25</v>
      </c>
      <c r="H939" s="17" t="n">
        <f aca="false">17.34/95*Notas!$B$3</f>
        <v>17.34</v>
      </c>
      <c r="I939" s="17" t="n">
        <f aca="false">75.26/95*Notas!$B$3</f>
        <v>75.26</v>
      </c>
      <c r="J939" s="17" t="n">
        <f aca="false">75.26/95*Notas!$B$3</f>
        <v>75.26</v>
      </c>
    </row>
    <row r="940" customFormat="false" ht="15" hidden="false" customHeight="false" outlineLevel="0" collapsed="false">
      <c r="A940" s="13" t="s">
        <v>247</v>
      </c>
      <c r="B940" s="13" t="n">
        <v>48</v>
      </c>
      <c r="C940" s="17" t="n">
        <f aca="false">B940/100*Notas!$B$3</f>
        <v>45.6</v>
      </c>
      <c r="D940" s="17" t="n">
        <f aca="false">26.62/95*Notas!$B$3</f>
        <v>26.62</v>
      </c>
      <c r="E940" s="17" t="n">
        <f aca="false">17.05/95*Notas!$B$3</f>
        <v>17.05</v>
      </c>
      <c r="F940" s="13" t="n">
        <v>1</v>
      </c>
      <c r="G940" s="17" t="n">
        <f aca="false">26.62/95*Notas!$B$3</f>
        <v>26.62</v>
      </c>
      <c r="H940" s="17" t="n">
        <f aca="false">17.05/95*Notas!$B$3</f>
        <v>17.05</v>
      </c>
      <c r="I940" s="17" t="n">
        <f aca="false">73.33/95*Notas!$B$3</f>
        <v>73.33</v>
      </c>
      <c r="J940" s="17" t="n">
        <f aca="false">73.33/95*Notas!$B$3</f>
        <v>73.33</v>
      </c>
    </row>
    <row r="941" customFormat="false" ht="15" hidden="false" customHeight="false" outlineLevel="0" collapsed="false">
      <c r="A941" s="13" t="s">
        <v>247</v>
      </c>
      <c r="B941" s="13" t="n">
        <v>49</v>
      </c>
      <c r="C941" s="17" t="n">
        <f aca="false">B941/100*Notas!$B$3</f>
        <v>46.55</v>
      </c>
      <c r="D941" s="17" t="n">
        <f aca="false">25.99/95*Notas!$B$3</f>
        <v>25.99</v>
      </c>
      <c r="E941" s="17" t="n">
        <f aca="false">16.51/95*Notas!$B$3</f>
        <v>16.51</v>
      </c>
      <c r="F941" s="13" t="n">
        <v>1</v>
      </c>
      <c r="G941" s="17" t="n">
        <f aca="false">25.99/95*Notas!$B$3</f>
        <v>25.99</v>
      </c>
      <c r="H941" s="17" t="n">
        <f aca="false">16.51/95*Notas!$B$3</f>
        <v>16.51</v>
      </c>
      <c r="I941" s="17" t="n">
        <f aca="false">71.39/95*Notas!$B$3</f>
        <v>71.39</v>
      </c>
      <c r="J941" s="17" t="n">
        <f aca="false">71.39/95*Notas!$B$3</f>
        <v>71.39</v>
      </c>
    </row>
    <row r="942" customFormat="false" ht="15" hidden="false" customHeight="false" outlineLevel="0" collapsed="false">
      <c r="A942" s="13" t="s">
        <v>247</v>
      </c>
      <c r="B942" s="13" t="n">
        <v>50</v>
      </c>
      <c r="C942" s="17" t="n">
        <f aca="false">B942/100*Notas!$B$3</f>
        <v>47.5</v>
      </c>
      <c r="D942" s="17" t="n">
        <f aca="false">25.35/95*Notas!$B$3</f>
        <v>25.35</v>
      </c>
      <c r="E942" s="17" t="n">
        <f aca="false">15.95/95*Notas!$B$3</f>
        <v>15.95</v>
      </c>
      <c r="F942" s="13" t="n">
        <v>1</v>
      </c>
      <c r="G942" s="17" t="n">
        <f aca="false">25.35/95*Notas!$B$3</f>
        <v>25.35</v>
      </c>
      <c r="H942" s="17" t="n">
        <f aca="false">15.95/95*Notas!$B$3</f>
        <v>15.95</v>
      </c>
      <c r="I942" s="17" t="n">
        <f aca="false">69.24/95*Notas!$B$3</f>
        <v>69.24</v>
      </c>
      <c r="J942" s="17" t="n">
        <f aca="false">69.24/95*Notas!$B$3</f>
        <v>69.24</v>
      </c>
    </row>
    <row r="943" customFormat="false" ht="15" hidden="false" customHeight="false" outlineLevel="0" collapsed="false">
      <c r="A943" s="13" t="s">
        <v>247</v>
      </c>
      <c r="B943" s="13" t="n">
        <v>51</v>
      </c>
      <c r="C943" s="17" t="n">
        <f aca="false">B943/100*Notas!$B$3</f>
        <v>48.45</v>
      </c>
      <c r="D943" s="17" t="n">
        <f aca="false">24.64/95*Notas!$B$3</f>
        <v>24.64</v>
      </c>
      <c r="E943" s="17" t="n">
        <f aca="false">15.34/95*Notas!$B$3</f>
        <v>15.34</v>
      </c>
      <c r="F943" s="13" t="n">
        <v>1</v>
      </c>
      <c r="G943" s="17" t="n">
        <f aca="false">24.64/95*Notas!$B$3</f>
        <v>24.64</v>
      </c>
      <c r="H943" s="17" t="n">
        <f aca="false">15.34/95*Notas!$B$3</f>
        <v>15.34</v>
      </c>
      <c r="I943" s="17" t="n">
        <f aca="false">67.47/95*Notas!$B$3</f>
        <v>67.47</v>
      </c>
      <c r="J943" s="17" t="n">
        <f aca="false">67.47/95*Notas!$B$3</f>
        <v>67.47</v>
      </c>
    </row>
    <row r="944" customFormat="false" ht="15" hidden="false" customHeight="false" outlineLevel="0" collapsed="false">
      <c r="A944" s="13" t="s">
        <v>247</v>
      </c>
      <c r="B944" s="13" t="n">
        <v>52</v>
      </c>
      <c r="C944" s="17" t="n">
        <f aca="false">B944/100*Notas!$B$3</f>
        <v>49.4</v>
      </c>
      <c r="D944" s="17" t="n">
        <f aca="false">23.74/95*Notas!$B$3</f>
        <v>23.74</v>
      </c>
      <c r="E944" s="17" t="n">
        <f aca="false">14.23/95*Notas!$B$3</f>
        <v>14.23</v>
      </c>
      <c r="F944" s="13" t="n">
        <v>1</v>
      </c>
      <c r="G944" s="17" t="n">
        <f aca="false">23.74/95*Notas!$B$3</f>
        <v>23.74</v>
      </c>
      <c r="H944" s="17" t="n">
        <f aca="false">14.23/95*Notas!$B$3</f>
        <v>14.23</v>
      </c>
      <c r="I944" s="17" t="n">
        <f aca="false">64.08/95*Notas!$B$3</f>
        <v>64.08</v>
      </c>
      <c r="J944" s="17" t="n">
        <f aca="false">64.08/95*Notas!$B$3</f>
        <v>64.08</v>
      </c>
    </row>
    <row r="945" customFormat="false" ht="15" hidden="false" customHeight="false" outlineLevel="0" collapsed="false">
      <c r="A945" s="13" t="s">
        <v>247</v>
      </c>
      <c r="B945" s="13" t="n">
        <v>53</v>
      </c>
      <c r="C945" s="17" t="n">
        <f aca="false">B945/100*Notas!$B$3</f>
        <v>50.35</v>
      </c>
      <c r="D945" s="17" t="n">
        <f aca="false">22.53/95*Notas!$B$3</f>
        <v>22.53</v>
      </c>
      <c r="E945" s="17" t="n">
        <f aca="false">12.9/95*Notas!$B$3</f>
        <v>12.9</v>
      </c>
      <c r="F945" s="13" t="n">
        <v>1</v>
      </c>
      <c r="G945" s="17" t="n">
        <f aca="false">22.53/95*Notas!$B$3</f>
        <v>22.53</v>
      </c>
      <c r="H945" s="17" t="n">
        <f aca="false">12.9/95*Notas!$B$3</f>
        <v>12.9</v>
      </c>
      <c r="I945" s="17" t="n">
        <f aca="false">60.03/95*Notas!$B$3</f>
        <v>60.03</v>
      </c>
      <c r="J945" s="17" t="n">
        <f aca="false">60.03/95*Notas!$B$3</f>
        <v>60.03</v>
      </c>
    </row>
    <row r="946" customFormat="false" ht="15" hidden="false" customHeight="false" outlineLevel="0" collapsed="false">
      <c r="A946" s="13" t="s">
        <v>247</v>
      </c>
      <c r="B946" s="13" t="n">
        <v>54</v>
      </c>
      <c r="C946" s="17" t="n">
        <f aca="false">B946/100*Notas!$B$3</f>
        <v>51.3</v>
      </c>
      <c r="D946" s="17" t="n">
        <f aca="false">21.14/95*Notas!$B$3</f>
        <v>21.14</v>
      </c>
      <c r="E946" s="17" t="n">
        <f aca="false">11.64/95*Notas!$B$3</f>
        <v>11.64</v>
      </c>
      <c r="F946" s="13" t="n">
        <v>1</v>
      </c>
      <c r="G946" s="17" t="n">
        <f aca="false">21.14/95*Notas!$B$3</f>
        <v>21.14</v>
      </c>
      <c r="H946" s="17" t="n">
        <f aca="false">11.64/95*Notas!$B$3</f>
        <v>11.64</v>
      </c>
      <c r="I946" s="17" t="n">
        <f aca="false">55.53/95*Notas!$B$3</f>
        <v>55.53</v>
      </c>
      <c r="J946" s="17" t="n">
        <f aca="false">55.53/95*Notas!$B$3</f>
        <v>55.53</v>
      </c>
    </row>
    <row r="947" customFormat="false" ht="15" hidden="false" customHeight="false" outlineLevel="0" collapsed="false">
      <c r="A947" s="13" t="s">
        <v>247</v>
      </c>
      <c r="B947" s="13" t="n">
        <v>55</v>
      </c>
      <c r="C947" s="17" t="n">
        <f aca="false">B947/100*Notas!$B$3</f>
        <v>52.25</v>
      </c>
      <c r="D947" s="17" t="n">
        <f aca="false">18.37/95*Notas!$B$3</f>
        <v>18.37</v>
      </c>
      <c r="E947" s="17" t="n">
        <f aca="false">19.03/95*Notas!$B$3</f>
        <v>19.03</v>
      </c>
      <c r="F947" s="13" t="n">
        <v>3</v>
      </c>
      <c r="G947" s="17" t="n">
        <f aca="false">18.37/95*Notas!$B$3</f>
        <v>18.37</v>
      </c>
      <c r="H947" s="17" t="n">
        <f aca="false">11.25/95*Notas!$B$3</f>
        <v>11.25</v>
      </c>
      <c r="I947" s="17" t="n">
        <f aca="false">48.98/95*Notas!$B$3</f>
        <v>48.98</v>
      </c>
      <c r="J947" s="17" t="n">
        <f aca="false">68/95*Notas!$B$3</f>
        <v>68</v>
      </c>
    </row>
    <row r="948" customFormat="false" ht="15" hidden="false" customHeight="false" outlineLevel="0" collapsed="false">
      <c r="A948" s="13" t="s">
        <v>247</v>
      </c>
      <c r="B948" s="13" t="n">
        <v>56</v>
      </c>
      <c r="C948" s="17" t="n">
        <f aca="false">B948/100*Notas!$B$3</f>
        <v>53.2</v>
      </c>
      <c r="D948" s="17" t="n">
        <f aca="false">17.56/95*Notas!$B$3</f>
        <v>17.56</v>
      </c>
      <c r="E948" s="17" t="n">
        <f aca="false">19.16/95*Notas!$B$3</f>
        <v>19.16</v>
      </c>
      <c r="F948" s="13" t="n">
        <v>4</v>
      </c>
      <c r="G948" s="17" t="n">
        <f aca="false">13.66/95*Notas!$B$3</f>
        <v>13.66</v>
      </c>
      <c r="H948" s="17" t="n">
        <f aca="false">10.36/95*Notas!$B$3</f>
        <v>10.36</v>
      </c>
      <c r="I948" s="17" t="n">
        <f aca="false">38.84/95*Notas!$B$3</f>
        <v>38.84</v>
      </c>
      <c r="J948" s="17" t="n">
        <f aca="false">74.82/95*Notas!$B$3</f>
        <v>74.82</v>
      </c>
    </row>
    <row r="949" customFormat="false" ht="15" hidden="false" customHeight="false" outlineLevel="0" collapsed="false">
      <c r="A949" s="13" t="s">
        <v>247</v>
      </c>
      <c r="B949" s="13" t="n">
        <v>57</v>
      </c>
      <c r="C949" s="17" t="n">
        <f aca="false">B949/100*Notas!$B$3</f>
        <v>54.15</v>
      </c>
      <c r="D949" s="17" t="n">
        <f aca="false">16.58/95*Notas!$B$3</f>
        <v>16.58</v>
      </c>
      <c r="E949" s="17" t="n">
        <f aca="false">25.81/95*Notas!$B$3</f>
        <v>25.81</v>
      </c>
      <c r="F949" s="13" t="n">
        <v>3</v>
      </c>
      <c r="G949" s="17" t="n">
        <f aca="false">10.37/95*Notas!$B$3</f>
        <v>10.37</v>
      </c>
      <c r="H949" s="17" t="n">
        <f aca="false">24.44/95*Notas!$B$3</f>
        <v>24.44</v>
      </c>
      <c r="I949" s="17" t="n">
        <f aca="false">61.95/95*Notas!$B$3</f>
        <v>61.95</v>
      </c>
      <c r="J949" s="17" t="n">
        <f aca="false">89.87/95*Notas!$B$3</f>
        <v>89.87</v>
      </c>
    </row>
    <row r="950" customFormat="false" ht="15" hidden="false" customHeight="false" outlineLevel="0" collapsed="false">
      <c r="A950" s="13" t="s">
        <v>247</v>
      </c>
      <c r="B950" s="13" t="n">
        <v>58</v>
      </c>
      <c r="C950" s="17" t="n">
        <f aca="false">B950/100*Notas!$B$3</f>
        <v>55.1</v>
      </c>
      <c r="D950" s="17" t="n">
        <f aca="false">23.76/95*Notas!$B$3</f>
        <v>23.76</v>
      </c>
      <c r="E950" s="17" t="n">
        <f aca="false">30.92/95*Notas!$B$3</f>
        <v>30.92</v>
      </c>
      <c r="F950" s="13" t="n">
        <v>5</v>
      </c>
      <c r="G950" s="17" t="n">
        <f aca="false">12.83/95*Notas!$B$3</f>
        <v>12.83</v>
      </c>
      <c r="H950" s="17" t="n">
        <f aca="false">29.43/95*Notas!$B$3</f>
        <v>29.43</v>
      </c>
      <c r="I950" s="17" t="n">
        <f aca="false">73.61/95*Notas!$B$3</f>
        <v>73.61</v>
      </c>
      <c r="J950" s="17" t="n">
        <f aca="false">123.58/95*Notas!$B$3</f>
        <v>123.58</v>
      </c>
    </row>
    <row r="951" customFormat="false" ht="15" hidden="false" customHeight="false" outlineLevel="0" collapsed="false">
      <c r="A951" s="13" t="s">
        <v>247</v>
      </c>
      <c r="B951" s="13" t="n">
        <v>59</v>
      </c>
      <c r="C951" s="17" t="n">
        <f aca="false">B951/100*Notas!$B$3</f>
        <v>56.05</v>
      </c>
      <c r="D951" s="17" t="n">
        <f aca="false">27.3/95*Notas!$B$3</f>
        <v>27.3</v>
      </c>
      <c r="E951" s="17" t="n">
        <f aca="false">31.92/95*Notas!$B$3</f>
        <v>31.92</v>
      </c>
      <c r="F951" s="13" t="n">
        <v>3</v>
      </c>
      <c r="G951" s="17" t="n">
        <f aca="false">21.51/95*Notas!$B$3</f>
        <v>21.51</v>
      </c>
      <c r="H951" s="17" t="n">
        <f aca="false">31.92/95*Notas!$B$3</f>
        <v>31.92</v>
      </c>
      <c r="I951" s="17" t="n">
        <f aca="false">112.97/95*Notas!$B$3</f>
        <v>112.97</v>
      </c>
      <c r="J951" s="17" t="n">
        <f aca="false">138.48/95*Notas!$B$3</f>
        <v>138.48</v>
      </c>
    </row>
    <row r="952" customFormat="false" ht="15" hidden="false" customHeight="false" outlineLevel="0" collapsed="false">
      <c r="A952" s="13" t="s">
        <v>247</v>
      </c>
      <c r="B952" s="13" t="n">
        <v>60</v>
      </c>
      <c r="C952" s="17" t="n">
        <f aca="false">B952/100*Notas!$B$3</f>
        <v>57</v>
      </c>
      <c r="D952" s="17" t="n">
        <f aca="false">28.49/95*Notas!$B$3</f>
        <v>28.49</v>
      </c>
      <c r="E952" s="17" t="n">
        <f aca="false">34.85/95*Notas!$B$3</f>
        <v>34.85</v>
      </c>
      <c r="F952" s="13" t="n">
        <v>5</v>
      </c>
      <c r="G952" s="17" t="n">
        <f aca="false">25.36/95*Notas!$B$3</f>
        <v>25.36</v>
      </c>
      <c r="H952" s="17" t="n">
        <f aca="false">32.37/95*Notas!$B$3</f>
        <v>32.37</v>
      </c>
      <c r="I952" s="17" t="n">
        <f aca="false">113.24/95*Notas!$B$3</f>
        <v>113.24</v>
      </c>
      <c r="J952" s="17" t="n">
        <f aca="false">135.56/95*Notas!$B$3</f>
        <v>135.56</v>
      </c>
    </row>
    <row r="953" customFormat="false" ht="15" hidden="false" customHeight="false" outlineLevel="0" collapsed="false">
      <c r="A953" s="13" t="s">
        <v>247</v>
      </c>
      <c r="B953" s="13" t="n">
        <v>61</v>
      </c>
      <c r="C953" s="17" t="n">
        <f aca="false">B953/100*Notas!$B$3</f>
        <v>57.95</v>
      </c>
      <c r="D953" s="17" t="n">
        <f aca="false">29.45/95*Notas!$B$3</f>
        <v>29.45</v>
      </c>
      <c r="E953" s="17" t="n">
        <f aca="false">35.61/95*Notas!$B$3</f>
        <v>35.61</v>
      </c>
      <c r="F953" s="13" t="n">
        <v>4</v>
      </c>
      <c r="G953" s="17" t="n">
        <f aca="false">25.97/95*Notas!$B$3</f>
        <v>25.97</v>
      </c>
      <c r="H953" s="17" t="n">
        <f aca="false">32.63/95*Notas!$B$3</f>
        <v>32.63</v>
      </c>
      <c r="I953" s="17" t="n">
        <f aca="false">103.52/95*Notas!$B$3</f>
        <v>103.52</v>
      </c>
      <c r="J953" s="17" t="n">
        <f aca="false">131.15/95*Notas!$B$3</f>
        <v>131.15</v>
      </c>
    </row>
    <row r="954" customFormat="false" ht="15" hidden="false" customHeight="false" outlineLevel="0" collapsed="false">
      <c r="A954" s="13" t="s">
        <v>247</v>
      </c>
      <c r="B954" s="13" t="n">
        <v>62</v>
      </c>
      <c r="C954" s="17" t="n">
        <f aca="false">B954/100*Notas!$B$3</f>
        <v>58.9</v>
      </c>
      <c r="D954" s="17" t="n">
        <f aca="false">38.88/95*Notas!$B$3</f>
        <v>38.88</v>
      </c>
      <c r="E954" s="17" t="n">
        <f aca="false">36.16/95*Notas!$B$3</f>
        <v>36.16</v>
      </c>
      <c r="F954" s="13" t="n">
        <v>3</v>
      </c>
      <c r="G954" s="17" t="n">
        <f aca="false">38.88/95*Notas!$B$3</f>
        <v>38.88</v>
      </c>
      <c r="H954" s="17" t="n">
        <f aca="false">36.16/95*Notas!$B$3</f>
        <v>36.16</v>
      </c>
      <c r="I954" s="17" t="n">
        <f aca="false">153.16/95*Notas!$B$3</f>
        <v>153.16</v>
      </c>
      <c r="J954" s="17" t="n">
        <f aca="false">169.16/95*Notas!$B$3</f>
        <v>169.16</v>
      </c>
    </row>
    <row r="955" customFormat="false" ht="15" hidden="false" customHeight="false" outlineLevel="0" collapsed="false">
      <c r="A955" s="13" t="s">
        <v>247</v>
      </c>
      <c r="B955" s="13" t="n">
        <v>63</v>
      </c>
      <c r="C955" s="17" t="n">
        <f aca="false">B955/100*Notas!$B$3</f>
        <v>59.85</v>
      </c>
      <c r="D955" s="17" t="n">
        <f aca="false">39.91/95*Notas!$B$3</f>
        <v>39.91</v>
      </c>
      <c r="E955" s="17" t="n">
        <f aca="false">36.54/95*Notas!$B$3</f>
        <v>36.54</v>
      </c>
      <c r="F955" s="13" t="n">
        <v>3</v>
      </c>
      <c r="G955" s="17" t="n">
        <f aca="false">39.91/95*Notas!$B$3</f>
        <v>39.91</v>
      </c>
      <c r="H955" s="17" t="n">
        <f aca="false">36.54/95*Notas!$B$3</f>
        <v>36.54</v>
      </c>
      <c r="I955" s="17" t="n">
        <f aca="false">150.72/95*Notas!$B$3</f>
        <v>150.72</v>
      </c>
      <c r="J955" s="17" t="n">
        <f aca="false">171.12/95*Notas!$B$3</f>
        <v>171.12</v>
      </c>
    </row>
    <row r="956" customFormat="false" ht="15" hidden="false" customHeight="false" outlineLevel="0" collapsed="false">
      <c r="A956" s="13" t="s">
        <v>247</v>
      </c>
      <c r="B956" s="13" t="n">
        <v>64</v>
      </c>
      <c r="C956" s="17" t="n">
        <f aca="false">B956/100*Notas!$B$3</f>
        <v>60.8</v>
      </c>
      <c r="D956" s="17" t="n">
        <f aca="false">40.33/95*Notas!$B$3</f>
        <v>40.33</v>
      </c>
      <c r="E956" s="17" t="n">
        <f aca="false">36.86/95*Notas!$B$3</f>
        <v>36.86</v>
      </c>
      <c r="F956" s="13" t="n">
        <v>3</v>
      </c>
      <c r="G956" s="17" t="n">
        <f aca="false">40.33/95*Notas!$B$3</f>
        <v>40.33</v>
      </c>
      <c r="H956" s="17" t="n">
        <f aca="false">36.86/95*Notas!$B$3</f>
        <v>36.86</v>
      </c>
      <c r="I956" s="17" t="n">
        <f aca="false">148.2/95*Notas!$B$3</f>
        <v>148.2</v>
      </c>
      <c r="J956" s="17" t="n">
        <f aca="false">172.52/95*Notas!$B$3</f>
        <v>172.52</v>
      </c>
    </row>
    <row r="957" customFormat="false" ht="15" hidden="false" customHeight="false" outlineLevel="0" collapsed="false">
      <c r="A957" s="13" t="s">
        <v>247</v>
      </c>
      <c r="B957" s="13" t="n">
        <v>65</v>
      </c>
      <c r="C957" s="17" t="n">
        <f aca="false">B957/100*Notas!$B$3</f>
        <v>61.75</v>
      </c>
      <c r="D957" s="17" t="n">
        <f aca="false">40.41/95*Notas!$B$3</f>
        <v>40.41</v>
      </c>
      <c r="E957" s="17" t="n">
        <f aca="false">39.73/95*Notas!$B$3</f>
        <v>39.73</v>
      </c>
      <c r="F957" s="13" t="n">
        <v>3</v>
      </c>
      <c r="G957" s="17" t="n">
        <f aca="false">40.41/95*Notas!$B$3</f>
        <v>40.41</v>
      </c>
      <c r="H957" s="17" t="n">
        <f aca="false">39.73/95*Notas!$B$3</f>
        <v>39.73</v>
      </c>
      <c r="I957" s="17" t="n">
        <f aca="false">149.06/95*Notas!$B$3</f>
        <v>149.06</v>
      </c>
      <c r="J957" s="17" t="n">
        <f aca="false">177.09/95*Notas!$B$3</f>
        <v>177.09</v>
      </c>
    </row>
    <row r="958" customFormat="false" ht="15" hidden="false" customHeight="false" outlineLevel="0" collapsed="false">
      <c r="A958" s="13" t="s">
        <v>247</v>
      </c>
      <c r="B958" s="13" t="n">
        <v>66</v>
      </c>
      <c r="C958" s="17" t="n">
        <f aca="false">B958/100*Notas!$B$3</f>
        <v>62.7</v>
      </c>
      <c r="D958" s="17" t="n">
        <f aca="false">40.39/95*Notas!$B$3</f>
        <v>40.39</v>
      </c>
      <c r="E958" s="17" t="n">
        <f aca="false">41.18/95*Notas!$B$3</f>
        <v>41.18</v>
      </c>
      <c r="F958" s="13" t="n">
        <v>3</v>
      </c>
      <c r="G958" s="17" t="n">
        <f aca="false">40.39/95*Notas!$B$3</f>
        <v>40.39</v>
      </c>
      <c r="H958" s="17" t="n">
        <f aca="false">41.18/95*Notas!$B$3</f>
        <v>41.18</v>
      </c>
      <c r="I958" s="17" t="n">
        <f aca="false">150.64/95*Notas!$B$3</f>
        <v>150.64</v>
      </c>
      <c r="J958" s="17" t="n">
        <f aca="false">182.57/95*Notas!$B$3</f>
        <v>182.57</v>
      </c>
    </row>
    <row r="959" customFormat="false" ht="15" hidden="false" customHeight="false" outlineLevel="0" collapsed="false">
      <c r="A959" s="13" t="s">
        <v>247</v>
      </c>
      <c r="B959" s="13" t="n">
        <v>67</v>
      </c>
      <c r="C959" s="17" t="n">
        <f aca="false">B959/100*Notas!$B$3</f>
        <v>63.65</v>
      </c>
      <c r="D959" s="17" t="n">
        <f aca="false">40.35/95*Notas!$B$3</f>
        <v>40.35</v>
      </c>
      <c r="E959" s="17" t="n">
        <f aca="false">41.43/95*Notas!$B$3</f>
        <v>41.43</v>
      </c>
      <c r="F959" s="13" t="n">
        <v>3</v>
      </c>
      <c r="G959" s="17" t="n">
        <f aca="false">40.35/95*Notas!$B$3</f>
        <v>40.35</v>
      </c>
      <c r="H959" s="17" t="n">
        <f aca="false">41.43/95*Notas!$B$3</f>
        <v>41.43</v>
      </c>
      <c r="I959" s="17" t="n">
        <f aca="false">150.05/95*Notas!$B$3</f>
        <v>150.05</v>
      </c>
      <c r="J959" s="17" t="n">
        <f aca="false">186.58/95*Notas!$B$3</f>
        <v>186.58</v>
      </c>
    </row>
    <row r="960" customFormat="false" ht="15" hidden="false" customHeight="false" outlineLevel="0" collapsed="false">
      <c r="A960" s="13" t="s">
        <v>247</v>
      </c>
      <c r="B960" s="13" t="n">
        <v>68</v>
      </c>
      <c r="C960" s="17" t="n">
        <f aca="false">B960/100*Notas!$B$3</f>
        <v>64.6</v>
      </c>
      <c r="D960" s="17" t="n">
        <f aca="false">40.32/95*Notas!$B$3</f>
        <v>40.32</v>
      </c>
      <c r="E960" s="17" t="n">
        <f aca="false">41.55/95*Notas!$B$3</f>
        <v>41.55</v>
      </c>
      <c r="F960" s="13" t="n">
        <v>3</v>
      </c>
      <c r="G960" s="17" t="n">
        <f aca="false">40.32/95*Notas!$B$3</f>
        <v>40.32</v>
      </c>
      <c r="H960" s="17" t="n">
        <f aca="false">41.55/95*Notas!$B$3</f>
        <v>41.55</v>
      </c>
      <c r="I960" s="17" t="n">
        <f aca="false">155.27/95*Notas!$B$3</f>
        <v>155.27</v>
      </c>
      <c r="J960" s="17" t="n">
        <f aca="false">196.62/95*Notas!$B$3</f>
        <v>196.62</v>
      </c>
    </row>
    <row r="961" customFormat="false" ht="15" hidden="false" customHeight="false" outlineLevel="0" collapsed="false">
      <c r="A961" s="13" t="s">
        <v>247</v>
      </c>
      <c r="B961" s="13" t="n">
        <v>69</v>
      </c>
      <c r="C961" s="17" t="n">
        <f aca="false">B961/100*Notas!$B$3</f>
        <v>65.55</v>
      </c>
      <c r="D961" s="17" t="n">
        <f aca="false">40.11/95*Notas!$B$3</f>
        <v>40.11</v>
      </c>
      <c r="E961" s="17" t="n">
        <f aca="false">41.46/95*Notas!$B$3</f>
        <v>41.46</v>
      </c>
      <c r="F961" s="13" t="n">
        <v>4</v>
      </c>
      <c r="G961" s="17" t="n">
        <f aca="false">39.59/95*Notas!$B$3</f>
        <v>39.59</v>
      </c>
      <c r="H961" s="17" t="n">
        <f aca="false">41.46/95*Notas!$B$3</f>
        <v>41.46</v>
      </c>
      <c r="I961" s="17" t="n">
        <f aca="false">153.98/95*Notas!$B$3</f>
        <v>153.98</v>
      </c>
      <c r="J961" s="17" t="n">
        <f aca="false">203.48/95*Notas!$B$3</f>
        <v>203.48</v>
      </c>
    </row>
    <row r="962" customFormat="false" ht="15" hidden="false" customHeight="false" outlineLevel="0" collapsed="false">
      <c r="A962" s="13" t="s">
        <v>247</v>
      </c>
      <c r="B962" s="13" t="n">
        <v>70</v>
      </c>
      <c r="C962" s="17" t="n">
        <f aca="false">B962/100*Notas!$B$3</f>
        <v>66.5</v>
      </c>
      <c r="D962" s="17" t="n">
        <f aca="false">39.48/95*Notas!$B$3</f>
        <v>39.48</v>
      </c>
      <c r="E962" s="17" t="n">
        <f aca="false">39.52/95*Notas!$B$3</f>
        <v>39.52</v>
      </c>
      <c r="F962" s="13" t="n">
        <v>3</v>
      </c>
      <c r="G962" s="17" t="n">
        <f aca="false">36.51/95*Notas!$B$3</f>
        <v>36.51</v>
      </c>
      <c r="H962" s="17" t="n">
        <f aca="false">39.27/95*Notas!$B$3</f>
        <v>39.27</v>
      </c>
      <c r="I962" s="17" t="n">
        <f aca="false">160.67/95*Notas!$B$3</f>
        <v>160.67</v>
      </c>
      <c r="J962" s="17" t="n">
        <f aca="false">190.17/95*Notas!$B$3</f>
        <v>190.17</v>
      </c>
    </row>
    <row r="963" customFormat="false" ht="15" hidden="false" customHeight="false" outlineLevel="0" collapsed="false">
      <c r="A963" s="13" t="s">
        <v>247</v>
      </c>
      <c r="B963" s="13" t="n">
        <v>71</v>
      </c>
      <c r="C963" s="17" t="n">
        <f aca="false">B963/100*Notas!$B$3</f>
        <v>67.45</v>
      </c>
      <c r="D963" s="17" t="n">
        <f aca="false">40.26/95*Notas!$B$3</f>
        <v>40.26</v>
      </c>
      <c r="E963" s="17" t="n">
        <f aca="false">40.6/95*Notas!$B$3</f>
        <v>40.6</v>
      </c>
      <c r="F963" s="13" t="n">
        <v>3</v>
      </c>
      <c r="G963" s="17" t="n">
        <f aca="false">37.47/95*Notas!$B$3</f>
        <v>37.47</v>
      </c>
      <c r="H963" s="17" t="n">
        <f aca="false">40.54/95*Notas!$B$3</f>
        <v>40.54</v>
      </c>
      <c r="I963" s="17" t="n">
        <f aca="false">165.79/95*Notas!$B$3</f>
        <v>165.79</v>
      </c>
      <c r="J963" s="17" t="n">
        <f aca="false">188.24/95*Notas!$B$3</f>
        <v>188.24</v>
      </c>
    </row>
    <row r="964" customFormat="false" ht="15" hidden="false" customHeight="false" outlineLevel="0" collapsed="false">
      <c r="A964" s="13" t="s">
        <v>247</v>
      </c>
      <c r="B964" s="13" t="n">
        <v>72</v>
      </c>
      <c r="C964" s="17" t="n">
        <f aca="false">B964/100*Notas!$B$3</f>
        <v>68.4</v>
      </c>
      <c r="D964" s="17" t="n">
        <f aca="false">40.98/95*Notas!$B$3</f>
        <v>40.98</v>
      </c>
      <c r="E964" s="17" t="n">
        <f aca="false">40.93/95*Notas!$B$3</f>
        <v>40.93</v>
      </c>
      <c r="F964" s="13" t="n">
        <v>4</v>
      </c>
      <c r="G964" s="17" t="n">
        <f aca="false">38.7/95*Notas!$B$3</f>
        <v>38.7</v>
      </c>
      <c r="H964" s="17" t="n">
        <f aca="false">40.93/95*Notas!$B$3</f>
        <v>40.93</v>
      </c>
      <c r="I964" s="17" t="n">
        <f aca="false">168.6/95*Notas!$B$3</f>
        <v>168.6</v>
      </c>
      <c r="J964" s="17" t="n">
        <f aca="false">204.23/95*Notas!$B$3</f>
        <v>204.23</v>
      </c>
    </row>
    <row r="965" customFormat="false" ht="15" hidden="false" customHeight="false" outlineLevel="0" collapsed="false">
      <c r="A965" s="13" t="s">
        <v>247</v>
      </c>
      <c r="B965" s="13" t="n">
        <v>73</v>
      </c>
      <c r="C965" s="17" t="n">
        <f aca="false">B965/100*Notas!$B$3</f>
        <v>69.35</v>
      </c>
      <c r="D965" s="17" t="n">
        <f aca="false">41.68/95*Notas!$B$3</f>
        <v>41.68</v>
      </c>
      <c r="E965" s="17" t="n">
        <f aca="false">41.18/95*Notas!$B$3</f>
        <v>41.18</v>
      </c>
      <c r="F965" s="13" t="n">
        <v>2</v>
      </c>
      <c r="G965" s="17" t="n">
        <f aca="false">41.68/95*Notas!$B$3</f>
        <v>41.68</v>
      </c>
      <c r="H965" s="17" t="n">
        <f aca="false">41.18/95*Notas!$B$3</f>
        <v>41.18</v>
      </c>
      <c r="I965" s="17" t="n">
        <f aca="false">197.89/95*Notas!$B$3</f>
        <v>197.89</v>
      </c>
      <c r="J965" s="17" t="n">
        <f aca="false">209.87/95*Notas!$B$3</f>
        <v>209.87</v>
      </c>
    </row>
    <row r="966" customFormat="false" ht="15" hidden="false" customHeight="false" outlineLevel="0" collapsed="false">
      <c r="A966" s="13" t="s">
        <v>247</v>
      </c>
      <c r="B966" s="13" t="n">
        <v>74</v>
      </c>
      <c r="C966" s="17" t="n">
        <f aca="false">B966/100*Notas!$B$3</f>
        <v>70.3</v>
      </c>
      <c r="D966" s="17" t="n">
        <f aca="false">42.34/95*Notas!$B$3</f>
        <v>42.34</v>
      </c>
      <c r="E966" s="17" t="n">
        <f aca="false">41.45/95*Notas!$B$3</f>
        <v>41.45</v>
      </c>
      <c r="F966" s="13" t="n">
        <v>2</v>
      </c>
      <c r="G966" s="17" t="n">
        <f aca="false">42.34/95*Notas!$B$3</f>
        <v>42.34</v>
      </c>
      <c r="H966" s="17" t="n">
        <f aca="false">41.45/95*Notas!$B$3</f>
        <v>41.45</v>
      </c>
      <c r="I966" s="17" t="n">
        <f aca="false">203.62/95*Notas!$B$3</f>
        <v>203.62</v>
      </c>
      <c r="J966" s="17" t="n">
        <f aca="false">210.88/95*Notas!$B$3</f>
        <v>210.88</v>
      </c>
    </row>
    <row r="967" customFormat="false" ht="15" hidden="false" customHeight="false" outlineLevel="0" collapsed="false">
      <c r="A967" s="13" t="s">
        <v>247</v>
      </c>
      <c r="B967" s="13" t="n">
        <v>75</v>
      </c>
      <c r="C967" s="17" t="n">
        <f aca="false">B967/100*Notas!$B$3</f>
        <v>71.25</v>
      </c>
      <c r="D967" s="17" t="n">
        <f aca="false">43.01/95*Notas!$B$3</f>
        <v>43.01</v>
      </c>
      <c r="E967" s="17" t="n">
        <f aca="false">41.69/95*Notas!$B$3</f>
        <v>41.69</v>
      </c>
      <c r="F967" s="13" t="n">
        <v>2</v>
      </c>
      <c r="G967" s="17" t="n">
        <f aca="false">43.01/95*Notas!$B$3</f>
        <v>43.01</v>
      </c>
      <c r="H967" s="17" t="n">
        <f aca="false">41.69/95*Notas!$B$3</f>
        <v>41.69</v>
      </c>
      <c r="I967" s="17" t="n">
        <f aca="false">193.08/95*Notas!$B$3</f>
        <v>193.08</v>
      </c>
      <c r="J967" s="17" t="n">
        <f aca="false">194.67/95*Notas!$B$3</f>
        <v>194.67</v>
      </c>
    </row>
    <row r="968" customFormat="false" ht="15" hidden="false" customHeight="false" outlineLevel="0" collapsed="false">
      <c r="A968" s="13" t="s">
        <v>247</v>
      </c>
      <c r="B968" s="13" t="n">
        <v>76</v>
      </c>
      <c r="C968" s="17" t="n">
        <f aca="false">B968/100*Notas!$B$3</f>
        <v>72.2</v>
      </c>
      <c r="D968" s="17" t="n">
        <f aca="false">43.66/95*Notas!$B$3</f>
        <v>43.66</v>
      </c>
      <c r="E968" s="17" t="n">
        <f aca="false">41.92/95*Notas!$B$3</f>
        <v>41.92</v>
      </c>
      <c r="F968" s="13" t="n">
        <v>1</v>
      </c>
      <c r="G968" s="17" t="n">
        <f aca="false">43.66/95*Notas!$B$3</f>
        <v>43.66</v>
      </c>
      <c r="H968" s="17" t="n">
        <f aca="false">41.92/95*Notas!$B$3</f>
        <v>41.92</v>
      </c>
      <c r="I968" s="17" t="n">
        <f aca="false">194.7/95*Notas!$B$3</f>
        <v>194.7</v>
      </c>
      <c r="J968" s="17" t="n">
        <f aca="false">194.7/95*Notas!$B$3</f>
        <v>194.7</v>
      </c>
    </row>
    <row r="969" customFormat="false" ht="15" hidden="false" customHeight="false" outlineLevel="0" collapsed="false">
      <c r="A969" s="13" t="s">
        <v>247</v>
      </c>
      <c r="B969" s="13" t="n">
        <v>77</v>
      </c>
      <c r="C969" s="17" t="n">
        <f aca="false">B969/100*Notas!$B$3</f>
        <v>73.15</v>
      </c>
      <c r="D969" s="17" t="n">
        <f aca="false">44.28/95*Notas!$B$3</f>
        <v>44.28</v>
      </c>
      <c r="E969" s="17" t="n">
        <f aca="false">42.15/95*Notas!$B$3</f>
        <v>42.15</v>
      </c>
      <c r="F969" s="13" t="n">
        <v>1</v>
      </c>
      <c r="G969" s="17" t="n">
        <f aca="false">44.28/95*Notas!$B$3</f>
        <v>44.28</v>
      </c>
      <c r="H969" s="17" t="n">
        <f aca="false">42.15/95*Notas!$B$3</f>
        <v>42.15</v>
      </c>
      <c r="I969" s="17" t="n">
        <f aca="false">187.29/95*Notas!$B$3</f>
        <v>187.29</v>
      </c>
      <c r="J969" s="17" t="n">
        <f aca="false">187.29/95*Notas!$B$3</f>
        <v>187.29</v>
      </c>
    </row>
    <row r="970" customFormat="false" ht="15" hidden="false" customHeight="false" outlineLevel="0" collapsed="false">
      <c r="A970" s="13" t="s">
        <v>247</v>
      </c>
      <c r="B970" s="13" t="n">
        <v>78</v>
      </c>
      <c r="C970" s="17" t="n">
        <f aca="false">B970/100*Notas!$B$3</f>
        <v>74.1</v>
      </c>
      <c r="D970" s="17" t="n">
        <f aca="false">44.89/95*Notas!$B$3</f>
        <v>44.89</v>
      </c>
      <c r="E970" s="17" t="n">
        <f aca="false">42.22/95*Notas!$B$3</f>
        <v>42.22</v>
      </c>
      <c r="F970" s="13" t="n">
        <v>1</v>
      </c>
      <c r="G970" s="17" t="n">
        <f aca="false">44.89/95*Notas!$B$3</f>
        <v>44.89</v>
      </c>
      <c r="H970" s="17" t="n">
        <f aca="false">42.22/95*Notas!$B$3</f>
        <v>42.22</v>
      </c>
      <c r="I970" s="17" t="n">
        <f aca="false">186.69/95*Notas!$B$3</f>
        <v>186.69</v>
      </c>
      <c r="J970" s="17" t="n">
        <f aca="false">186.69/95*Notas!$B$3</f>
        <v>186.69</v>
      </c>
    </row>
    <row r="971" customFormat="false" ht="15" hidden="false" customHeight="false" outlineLevel="0" collapsed="false">
      <c r="A971" s="13" t="s">
        <v>247</v>
      </c>
      <c r="B971" s="13" t="n">
        <v>79</v>
      </c>
      <c r="C971" s="17" t="n">
        <f aca="false">B971/100*Notas!$B$3</f>
        <v>75.05</v>
      </c>
      <c r="D971" s="17" t="n">
        <f aca="false">44.75/95*Notas!$B$3</f>
        <v>44.75</v>
      </c>
      <c r="E971" s="17" t="n">
        <f aca="false">42.22/95*Notas!$B$3</f>
        <v>42.22</v>
      </c>
      <c r="F971" s="13" t="n">
        <v>1</v>
      </c>
      <c r="G971" s="17" t="n">
        <f aca="false">44.75/95*Notas!$B$3</f>
        <v>44.75</v>
      </c>
      <c r="H971" s="17" t="n">
        <f aca="false">42.22/95*Notas!$B$3</f>
        <v>42.22</v>
      </c>
      <c r="I971" s="17" t="n">
        <f aca="false">185.17/95*Notas!$B$3</f>
        <v>185.17</v>
      </c>
      <c r="J971" s="17" t="n">
        <f aca="false">185.17/95*Notas!$B$3</f>
        <v>185.17</v>
      </c>
    </row>
    <row r="972" customFormat="false" ht="15" hidden="false" customHeight="false" outlineLevel="0" collapsed="false">
      <c r="A972" s="13" t="s">
        <v>247</v>
      </c>
      <c r="B972" s="13" t="n">
        <v>80</v>
      </c>
      <c r="C972" s="17" t="n">
        <f aca="false">B972/100*Notas!$B$3</f>
        <v>76</v>
      </c>
      <c r="D972" s="17" t="n">
        <f aca="false">44.12/95*Notas!$B$3</f>
        <v>44.12</v>
      </c>
      <c r="E972" s="17" t="n">
        <f aca="false">41.98/95*Notas!$B$3</f>
        <v>41.98</v>
      </c>
      <c r="F972" s="13" t="n">
        <v>1</v>
      </c>
      <c r="G972" s="17" t="n">
        <f aca="false">44.12/95*Notas!$B$3</f>
        <v>44.12</v>
      </c>
      <c r="H972" s="17" t="n">
        <f aca="false">41.98/95*Notas!$B$3</f>
        <v>41.98</v>
      </c>
      <c r="I972" s="17" t="n">
        <f aca="false">178.35/95*Notas!$B$3</f>
        <v>178.35</v>
      </c>
      <c r="J972" s="17" t="n">
        <f aca="false">178.35/95*Notas!$B$3</f>
        <v>178.35</v>
      </c>
    </row>
    <row r="973" customFormat="false" ht="15" hidden="false" customHeight="false" outlineLevel="0" collapsed="false">
      <c r="A973" s="13" t="s">
        <v>247</v>
      </c>
      <c r="B973" s="13" t="n">
        <v>81</v>
      </c>
      <c r="C973" s="17" t="n">
        <f aca="false">B973/100*Notas!$B$3</f>
        <v>76.95</v>
      </c>
      <c r="D973" s="17" t="n">
        <f aca="false">44.06/95*Notas!$B$3</f>
        <v>44.06</v>
      </c>
      <c r="E973" s="17" t="n">
        <f aca="false">41.59/95*Notas!$B$3</f>
        <v>41.59</v>
      </c>
      <c r="F973" s="13" t="n">
        <v>1</v>
      </c>
      <c r="G973" s="17" t="n">
        <f aca="false">44.06/95*Notas!$B$3</f>
        <v>44.06</v>
      </c>
      <c r="H973" s="17" t="n">
        <f aca="false">41.59/95*Notas!$B$3</f>
        <v>41.59</v>
      </c>
      <c r="I973" s="17" t="n">
        <f aca="false">174.5/95*Notas!$B$3</f>
        <v>174.5</v>
      </c>
      <c r="J973" s="17" t="n">
        <f aca="false">174.5/95*Notas!$B$3</f>
        <v>174.5</v>
      </c>
    </row>
    <row r="974" customFormat="false" ht="15" hidden="false" customHeight="false" outlineLevel="0" collapsed="false">
      <c r="A974" s="13" t="s">
        <v>247</v>
      </c>
      <c r="B974" s="13" t="n">
        <v>82</v>
      </c>
      <c r="C974" s="17" t="n">
        <f aca="false">B974/100*Notas!$B$3</f>
        <v>77.9</v>
      </c>
      <c r="D974" s="17" t="n">
        <f aca="false">43.98/95*Notas!$B$3</f>
        <v>43.98</v>
      </c>
      <c r="E974" s="17" t="n">
        <f aca="false">41.15/95*Notas!$B$3</f>
        <v>41.15</v>
      </c>
      <c r="F974" s="13" t="n">
        <v>1</v>
      </c>
      <c r="G974" s="17" t="n">
        <f aca="false">43.98/95*Notas!$B$3</f>
        <v>43.98</v>
      </c>
      <c r="H974" s="17" t="n">
        <f aca="false">41.15/95*Notas!$B$3</f>
        <v>41.15</v>
      </c>
      <c r="I974" s="17" t="n">
        <f aca="false">172.61/95*Notas!$B$3</f>
        <v>172.61</v>
      </c>
      <c r="J974" s="17" t="n">
        <f aca="false">172.61/95*Notas!$B$3</f>
        <v>172.61</v>
      </c>
    </row>
    <row r="975" customFormat="false" ht="15" hidden="false" customHeight="false" outlineLevel="0" collapsed="false">
      <c r="A975" s="13" t="s">
        <v>247</v>
      </c>
      <c r="B975" s="13" t="n">
        <v>83</v>
      </c>
      <c r="C975" s="17" t="n">
        <f aca="false">B975/100*Notas!$B$3</f>
        <v>78.85</v>
      </c>
      <c r="D975" s="17" t="n">
        <f aca="false">43.77/95*Notas!$B$3</f>
        <v>43.77</v>
      </c>
      <c r="E975" s="17" t="n">
        <f aca="false">40.66/95*Notas!$B$3</f>
        <v>40.66</v>
      </c>
      <c r="F975" s="13" t="n">
        <v>1</v>
      </c>
      <c r="G975" s="17" t="n">
        <f aca="false">43.77/95*Notas!$B$3</f>
        <v>43.77</v>
      </c>
      <c r="H975" s="17" t="n">
        <f aca="false">40.66/95*Notas!$B$3</f>
        <v>40.66</v>
      </c>
      <c r="I975" s="17" t="n">
        <f aca="false">170.36/95*Notas!$B$3</f>
        <v>170.36</v>
      </c>
      <c r="J975" s="17" t="n">
        <f aca="false">170.36/95*Notas!$B$3</f>
        <v>170.36</v>
      </c>
    </row>
    <row r="976" customFormat="false" ht="15" hidden="false" customHeight="false" outlineLevel="0" collapsed="false">
      <c r="A976" s="13" t="s">
        <v>247</v>
      </c>
      <c r="B976" s="13" t="n">
        <v>84</v>
      </c>
      <c r="C976" s="17" t="n">
        <f aca="false">B976/100*Notas!$B$3</f>
        <v>79.8</v>
      </c>
      <c r="D976" s="17" t="n">
        <f aca="false">42.41/95*Notas!$B$3</f>
        <v>42.41</v>
      </c>
      <c r="E976" s="17" t="n">
        <f aca="false">40.32/95*Notas!$B$3</f>
        <v>40.32</v>
      </c>
      <c r="F976" s="13" t="n">
        <v>1</v>
      </c>
      <c r="G976" s="17" t="n">
        <f aca="false">42.41/95*Notas!$B$3</f>
        <v>42.41</v>
      </c>
      <c r="H976" s="17" t="n">
        <f aca="false">40.32/95*Notas!$B$3</f>
        <v>40.32</v>
      </c>
      <c r="I976" s="17" t="n">
        <f aca="false">163.88/95*Notas!$B$3</f>
        <v>163.88</v>
      </c>
      <c r="J976" s="17" t="n">
        <f aca="false">163.88/95*Notas!$B$3</f>
        <v>163.88</v>
      </c>
    </row>
    <row r="977" customFormat="false" ht="15" hidden="false" customHeight="false" outlineLevel="0" collapsed="false">
      <c r="A977" s="13" t="s">
        <v>247</v>
      </c>
      <c r="B977" s="13" t="n">
        <v>85</v>
      </c>
      <c r="C977" s="17" t="n">
        <f aca="false">B977/100*Notas!$B$3</f>
        <v>80.75</v>
      </c>
      <c r="D977" s="17" t="n">
        <f aca="false">40.91/95*Notas!$B$3</f>
        <v>40.91</v>
      </c>
      <c r="E977" s="17" t="n">
        <f aca="false">39.98/95*Notas!$B$3</f>
        <v>39.98</v>
      </c>
      <c r="F977" s="13" t="n">
        <v>2</v>
      </c>
      <c r="G977" s="17" t="n">
        <f aca="false">40.91/95*Notas!$B$3</f>
        <v>40.91</v>
      </c>
      <c r="H977" s="17" t="n">
        <f aca="false">39.98/95*Notas!$B$3</f>
        <v>39.98</v>
      </c>
      <c r="I977" s="17" t="n">
        <f aca="false">158.21/95*Notas!$B$3</f>
        <v>158.21</v>
      </c>
      <c r="J977" s="17" t="n">
        <f aca="false">166.95/95*Notas!$B$3</f>
        <v>166.95</v>
      </c>
    </row>
    <row r="978" customFormat="false" ht="15" hidden="false" customHeight="false" outlineLevel="0" collapsed="false">
      <c r="A978" s="13" t="s">
        <v>247</v>
      </c>
      <c r="B978" s="13" t="n">
        <v>86</v>
      </c>
      <c r="C978" s="17" t="n">
        <f aca="false">B978/100*Notas!$B$3</f>
        <v>81.7</v>
      </c>
      <c r="D978" s="17" t="n">
        <f aca="false">39.1/95*Notas!$B$3</f>
        <v>39.1</v>
      </c>
      <c r="E978" s="17" t="n">
        <f aca="false">39.67/95*Notas!$B$3</f>
        <v>39.67</v>
      </c>
      <c r="F978" s="13" t="n">
        <v>2</v>
      </c>
      <c r="G978" s="17" t="n">
        <f aca="false">39.1/95*Notas!$B$3</f>
        <v>39.1</v>
      </c>
      <c r="H978" s="17" t="n">
        <f aca="false">39.67/95*Notas!$B$3</f>
        <v>39.67</v>
      </c>
      <c r="I978" s="17" t="n">
        <f aca="false">158.59/95*Notas!$B$3</f>
        <v>158.59</v>
      </c>
      <c r="J978" s="17" t="n">
        <f aca="false">164.05/95*Notas!$B$3</f>
        <v>164.05</v>
      </c>
    </row>
    <row r="979" customFormat="false" ht="15" hidden="false" customHeight="false" outlineLevel="0" collapsed="false">
      <c r="A979" s="13" t="s">
        <v>247</v>
      </c>
      <c r="B979" s="13" t="n">
        <v>87</v>
      </c>
      <c r="C979" s="17" t="n">
        <f aca="false">B979/100*Notas!$B$3</f>
        <v>82.65</v>
      </c>
      <c r="D979" s="17" t="n">
        <f aca="false">37.17/95*Notas!$B$3</f>
        <v>37.17</v>
      </c>
      <c r="E979" s="17" t="n">
        <f aca="false">39.63/95*Notas!$B$3</f>
        <v>39.63</v>
      </c>
      <c r="F979" s="13" t="n">
        <v>1</v>
      </c>
      <c r="G979" s="17" t="n">
        <f aca="false">37.17/95*Notas!$B$3</f>
        <v>37.17</v>
      </c>
      <c r="H979" s="17" t="n">
        <f aca="false">39.63/95*Notas!$B$3</f>
        <v>39.63</v>
      </c>
      <c r="I979" s="17" t="n">
        <f aca="false">156.8/95*Notas!$B$3</f>
        <v>156.8</v>
      </c>
      <c r="J979" s="17" t="n">
        <f aca="false">156.8/95*Notas!$B$3</f>
        <v>156.8</v>
      </c>
    </row>
    <row r="980" customFormat="false" ht="15" hidden="false" customHeight="false" outlineLevel="0" collapsed="false">
      <c r="A980" s="13" t="s">
        <v>247</v>
      </c>
      <c r="B980" s="13" t="n">
        <v>88</v>
      </c>
      <c r="C980" s="17" t="n">
        <f aca="false">B980/100*Notas!$B$3</f>
        <v>83.6</v>
      </c>
      <c r="D980" s="17" t="n">
        <f aca="false">35.28/95*Notas!$B$3</f>
        <v>35.28</v>
      </c>
      <c r="E980" s="17" t="n">
        <f aca="false">39.58/95*Notas!$B$3</f>
        <v>39.58</v>
      </c>
      <c r="F980" s="13" t="n">
        <v>1</v>
      </c>
      <c r="G980" s="17" t="n">
        <f aca="false">35.28/95*Notas!$B$3</f>
        <v>35.28</v>
      </c>
      <c r="H980" s="17" t="n">
        <f aca="false">39.58/95*Notas!$B$3</f>
        <v>39.58</v>
      </c>
      <c r="I980" s="17" t="n">
        <f aca="false">154.1/95*Notas!$B$3</f>
        <v>154.1</v>
      </c>
      <c r="J980" s="17" t="n">
        <f aca="false">154.1/95*Notas!$B$3</f>
        <v>154.1</v>
      </c>
    </row>
    <row r="981" customFormat="false" ht="15" hidden="false" customHeight="false" outlineLevel="0" collapsed="false">
      <c r="A981" s="13" t="s">
        <v>247</v>
      </c>
      <c r="B981" s="13" t="n">
        <v>89</v>
      </c>
      <c r="C981" s="17" t="n">
        <f aca="false">B981/100*Notas!$B$3</f>
        <v>84.55</v>
      </c>
      <c r="D981" s="17" t="n">
        <f aca="false">33.93/95*Notas!$B$3</f>
        <v>33.93</v>
      </c>
      <c r="E981" s="17" t="n">
        <f aca="false">39.53/95*Notas!$B$3</f>
        <v>39.53</v>
      </c>
      <c r="F981" s="13" t="n">
        <v>1</v>
      </c>
      <c r="G981" s="17" t="n">
        <f aca="false">33.93/95*Notas!$B$3</f>
        <v>33.93</v>
      </c>
      <c r="H981" s="17" t="n">
        <f aca="false">39.53/95*Notas!$B$3</f>
        <v>39.53</v>
      </c>
      <c r="I981" s="17" t="n">
        <f aca="false">161.37/95*Notas!$B$3</f>
        <v>161.37</v>
      </c>
      <c r="J981" s="17" t="n">
        <f aca="false">161.37/95*Notas!$B$3</f>
        <v>161.37</v>
      </c>
    </row>
    <row r="982" customFormat="false" ht="15" hidden="false" customHeight="false" outlineLevel="0" collapsed="false">
      <c r="A982" s="13" t="s">
        <v>247</v>
      </c>
      <c r="B982" s="13" t="n">
        <v>90</v>
      </c>
      <c r="C982" s="17" t="n">
        <f aca="false">B982/100*Notas!$B$3</f>
        <v>85.5</v>
      </c>
      <c r="D982" s="17" t="n">
        <f aca="false">33.25/95*Notas!$B$3</f>
        <v>33.25</v>
      </c>
      <c r="E982" s="17" t="n">
        <f aca="false">39.42/95*Notas!$B$3</f>
        <v>39.42</v>
      </c>
      <c r="F982" s="13" t="n">
        <v>2</v>
      </c>
      <c r="G982" s="17" t="n">
        <f aca="false">33.25/95*Notas!$B$3</f>
        <v>33.25</v>
      </c>
      <c r="H982" s="17" t="n">
        <f aca="false">36.61/95*Notas!$B$3</f>
        <v>36.61</v>
      </c>
      <c r="I982" s="17" t="n">
        <f aca="false">172.53/95*Notas!$B$3</f>
        <v>172.53</v>
      </c>
      <c r="J982" s="17" t="n">
        <f aca="false">174.81/95*Notas!$B$3</f>
        <v>174.81</v>
      </c>
    </row>
    <row r="983" customFormat="false" ht="15" hidden="false" customHeight="false" outlineLevel="0" collapsed="false">
      <c r="A983" s="13" t="s">
        <v>247</v>
      </c>
      <c r="B983" s="13" t="n">
        <v>91</v>
      </c>
      <c r="C983" s="17" t="n">
        <f aca="false">B983/100*Notas!$B$3</f>
        <v>86.45</v>
      </c>
      <c r="D983" s="17" t="n">
        <f aca="false">33.81/95*Notas!$B$3</f>
        <v>33.81</v>
      </c>
      <c r="E983" s="17" t="n">
        <f aca="false">36.01/95*Notas!$B$3</f>
        <v>36.01</v>
      </c>
      <c r="F983" s="13" t="n">
        <v>1</v>
      </c>
      <c r="G983" s="17" t="n">
        <f aca="false">33.81/95*Notas!$B$3</f>
        <v>33.81</v>
      </c>
      <c r="H983" s="17" t="n">
        <f aca="false">36.01/95*Notas!$B$3</f>
        <v>36.01</v>
      </c>
      <c r="I983" s="17" t="n">
        <f aca="false">174.74/95*Notas!$B$3</f>
        <v>174.74</v>
      </c>
      <c r="J983" s="17" t="n">
        <f aca="false">174.74/95*Notas!$B$3</f>
        <v>174.74</v>
      </c>
    </row>
    <row r="984" customFormat="false" ht="15" hidden="false" customHeight="false" outlineLevel="0" collapsed="false">
      <c r="A984" s="13" t="s">
        <v>247</v>
      </c>
      <c r="B984" s="13" t="n">
        <v>92</v>
      </c>
      <c r="C984" s="17" t="n">
        <f aca="false">B984/100*Notas!$B$3</f>
        <v>87.4</v>
      </c>
      <c r="D984" s="17" t="n">
        <f aca="false">34.3/95*Notas!$B$3</f>
        <v>34.3</v>
      </c>
      <c r="E984" s="17" t="n">
        <f aca="false">34.36/95*Notas!$B$3</f>
        <v>34.36</v>
      </c>
      <c r="F984" s="13" t="n">
        <v>2</v>
      </c>
      <c r="G984" s="17" t="n">
        <f aca="false">0.52/95*Notas!$B$3</f>
        <v>0.52</v>
      </c>
      <c r="H984" s="17" t="n">
        <f aca="false">0.15/95*Notas!$B$3</f>
        <v>0.15</v>
      </c>
      <c r="I984" s="17" t="n">
        <f aca="false">1.13/95*Notas!$B$3</f>
        <v>1.13</v>
      </c>
      <c r="J984" s="17" t="n">
        <f aca="false">175.48/95*Notas!$B$3</f>
        <v>175.48</v>
      </c>
    </row>
    <row r="985" customFormat="false" ht="15" hidden="false" customHeight="false" outlineLevel="0" collapsed="false">
      <c r="A985" s="13" t="s">
        <v>247</v>
      </c>
      <c r="B985" s="13" t="n">
        <v>93</v>
      </c>
      <c r="C985" s="17" t="n">
        <f aca="false">B985/100*Notas!$B$3</f>
        <v>88.35</v>
      </c>
      <c r="D985" s="17" t="n">
        <f aca="false">29.35/95*Notas!$B$3</f>
        <v>29.35</v>
      </c>
      <c r="E985" s="17" t="n">
        <f aca="false">35.67/95*Notas!$B$3</f>
        <v>35.67</v>
      </c>
      <c r="F985" s="13" t="n">
        <v>3</v>
      </c>
      <c r="G985" s="17" t="n">
        <f aca="false">13.16/95*Notas!$B$3</f>
        <v>13.16</v>
      </c>
      <c r="H985" s="17" t="n">
        <f aca="false">7.02/95*Notas!$B$3</f>
        <v>7.02</v>
      </c>
      <c r="I985" s="17" t="n">
        <f aca="false">32.82/95*Notas!$B$3</f>
        <v>32.82</v>
      </c>
      <c r="J985" s="17" t="n">
        <f aca="false">192.63/95*Notas!$B$3</f>
        <v>192.63</v>
      </c>
    </row>
    <row r="986" customFormat="false" ht="15" hidden="false" customHeight="false" outlineLevel="0" collapsed="false">
      <c r="A986" s="13" t="s">
        <v>247</v>
      </c>
      <c r="B986" s="13" t="n">
        <v>94</v>
      </c>
      <c r="C986" s="17" t="n">
        <f aca="false">B986/100*Notas!$B$3</f>
        <v>89.3</v>
      </c>
      <c r="D986" s="17" t="n">
        <f aca="false">27.79/95*Notas!$B$3</f>
        <v>27.79</v>
      </c>
      <c r="E986" s="17" t="n">
        <f aca="false">37.02/95*Notas!$B$3</f>
        <v>37.02</v>
      </c>
      <c r="F986" s="13" t="n">
        <v>5</v>
      </c>
      <c r="G986" s="17" t="n">
        <f aca="false">12.72/95*Notas!$B$3</f>
        <v>12.72</v>
      </c>
      <c r="H986" s="17" t="n">
        <f aca="false">6.61/95*Notas!$B$3</f>
        <v>6.61</v>
      </c>
      <c r="I986" s="17" t="n">
        <f aca="false">31.28/95*Notas!$B$3</f>
        <v>31.28</v>
      </c>
      <c r="J986" s="17" t="n">
        <f aca="false">170.39/95*Notas!$B$3</f>
        <v>170.39</v>
      </c>
    </row>
    <row r="987" customFormat="false" ht="15" hidden="false" customHeight="false" outlineLevel="0" collapsed="false">
      <c r="A987" s="13" t="s">
        <v>247</v>
      </c>
      <c r="B987" s="13" t="n">
        <v>95</v>
      </c>
      <c r="C987" s="17" t="n">
        <f aca="false">B987/100*Notas!$B$3</f>
        <v>90.25</v>
      </c>
      <c r="D987" s="17" t="n">
        <f aca="false">22.9/95*Notas!$B$3</f>
        <v>22.9</v>
      </c>
      <c r="E987" s="17" t="n">
        <f aca="false">38.11/95*Notas!$B$3</f>
        <v>38.11</v>
      </c>
      <c r="F987" s="13" t="n">
        <v>2</v>
      </c>
      <c r="G987" s="17" t="n">
        <f aca="false">12.04/95*Notas!$B$3</f>
        <v>12.04</v>
      </c>
      <c r="H987" s="17" t="n">
        <f aca="false">6.07/95*Notas!$B$3</f>
        <v>6.07</v>
      </c>
      <c r="I987" s="17" t="n">
        <f aca="false">29.54/95*Notas!$B$3</f>
        <v>29.54</v>
      </c>
      <c r="J987" s="17" t="n">
        <f aca="false">155.01/95*Notas!$B$3</f>
        <v>155.01</v>
      </c>
    </row>
    <row r="988" customFormat="false" ht="15" hidden="false" customHeight="false" outlineLevel="0" collapsed="false">
      <c r="A988" s="13" t="s">
        <v>247</v>
      </c>
      <c r="B988" s="13" t="n">
        <v>96</v>
      </c>
      <c r="C988" s="17" t="n">
        <f aca="false">B988/100*Notas!$B$3</f>
        <v>91.2</v>
      </c>
      <c r="D988" s="17" t="n">
        <f aca="false">22.06/95*Notas!$B$3</f>
        <v>22.06</v>
      </c>
      <c r="E988" s="17" t="n">
        <f aca="false">38.73/95*Notas!$B$3</f>
        <v>38.73</v>
      </c>
      <c r="F988" s="13" t="n">
        <v>3</v>
      </c>
      <c r="G988" s="17" t="n">
        <f aca="false">11.23/95*Notas!$B$3</f>
        <v>11.23</v>
      </c>
      <c r="H988" s="17" t="n">
        <f aca="false">5.38/95*Notas!$B$3</f>
        <v>5.38</v>
      </c>
      <c r="I988" s="17" t="n">
        <f aca="false">27.85/95*Notas!$B$3</f>
        <v>27.85</v>
      </c>
      <c r="J988" s="17" t="n">
        <f aca="false">176.51/95*Notas!$B$3</f>
        <v>176.51</v>
      </c>
    </row>
    <row r="989" customFormat="false" ht="15" hidden="false" customHeight="false" outlineLevel="0" collapsed="false">
      <c r="A989" s="13" t="s">
        <v>247</v>
      </c>
      <c r="B989" s="13" t="n">
        <v>97</v>
      </c>
      <c r="C989" s="17" t="n">
        <f aca="false">B989/100*Notas!$B$3</f>
        <v>92.15</v>
      </c>
      <c r="D989" s="17" t="n">
        <f aca="false">19.87/95*Notas!$B$3</f>
        <v>19.87</v>
      </c>
      <c r="E989" s="17" t="n">
        <f aca="false">35.62/95*Notas!$B$3</f>
        <v>35.62</v>
      </c>
      <c r="F989" s="13" t="n">
        <v>5</v>
      </c>
      <c r="G989" s="17" t="n">
        <f aca="false">7.01/95*Notas!$B$3</f>
        <v>7.01</v>
      </c>
      <c r="H989" s="17" t="n">
        <f aca="false">22.89/95*Notas!$B$3</f>
        <v>22.89</v>
      </c>
      <c r="I989" s="17" t="n">
        <f aca="false">49.47/95*Notas!$B$3</f>
        <v>49.47</v>
      </c>
      <c r="J989" s="17" t="n">
        <f aca="false">140.03/95*Notas!$B$3</f>
        <v>140.03</v>
      </c>
    </row>
    <row r="990" customFormat="false" ht="15" hidden="false" customHeight="false" outlineLevel="0" collapsed="false">
      <c r="A990" s="13" t="s">
        <v>247</v>
      </c>
      <c r="B990" s="13" t="n">
        <v>98</v>
      </c>
      <c r="C990" s="17" t="n">
        <f aca="false">B990/100*Notas!$B$3</f>
        <v>93.1</v>
      </c>
      <c r="D990" s="17" t="n">
        <f aca="false">11.56/95*Notas!$B$3</f>
        <v>11.56</v>
      </c>
      <c r="E990" s="17" t="n">
        <f aca="false">20.66/95*Notas!$B$3</f>
        <v>20.66</v>
      </c>
      <c r="F990" s="13" t="n">
        <v>2</v>
      </c>
      <c r="G990" s="17" t="n">
        <f aca="false">5.73/95*Notas!$B$3</f>
        <v>5.73</v>
      </c>
      <c r="H990" s="17" t="n">
        <f aca="false">17.69/95*Notas!$B$3</f>
        <v>17.69</v>
      </c>
      <c r="I990" s="17" t="n">
        <f aca="false">38.5/95*Notas!$B$3</f>
        <v>38.5</v>
      </c>
      <c r="J990" s="17" t="n">
        <f aca="false">53.53/95*Notas!$B$3</f>
        <v>53.53</v>
      </c>
    </row>
    <row r="991" customFormat="false" ht="15" hidden="false" customHeight="false" outlineLevel="0" collapsed="false">
      <c r="A991" s="13" t="s">
        <v>247</v>
      </c>
      <c r="B991" s="13" t="n">
        <v>99</v>
      </c>
      <c r="C991" s="17" t="n">
        <f aca="false">B991/100*Notas!$B$3</f>
        <v>94.05</v>
      </c>
      <c r="D991" s="17" t="n">
        <f aca="false">4.36/95*Notas!$B$3</f>
        <v>4.36</v>
      </c>
      <c r="E991" s="17" t="n">
        <f aca="false">12.97/95*Notas!$B$3</f>
        <v>12.97</v>
      </c>
      <c r="F991" s="13" t="n">
        <v>1</v>
      </c>
      <c r="G991" s="17" t="n">
        <f aca="false">4.36/95*Notas!$B$3</f>
        <v>4.36</v>
      </c>
      <c r="H991" s="17" t="n">
        <f aca="false">12.97/95*Notas!$B$3</f>
        <v>12.97</v>
      </c>
      <c r="I991" s="17" t="n">
        <f aca="false">28.28/95*Notas!$B$3</f>
        <v>28.28</v>
      </c>
      <c r="J991" s="17" t="n">
        <f aca="false">28.28/95*Notas!$B$3</f>
        <v>28.28</v>
      </c>
    </row>
  </sheetData>
  <autoFilter ref="A1:J9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2026-09-28T14:28:22Z</dcterms:created>
  <dc:creator>openpyxl</dc:creator>
  <dc:description/>
  <dc:language>en-US</dc:language>
  <cp:lastModifiedBy/>
  <dcterms:modified xsi:type="dcterms:W3CDTF">2026-09-28T14:28:22Z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