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taxnow_v3\"/>
    </mc:Choice>
  </mc:AlternateContent>
  <xr:revisionPtr revIDLastSave="0" documentId="13_ncr:1_{0AFDEA33-23D0-442C-97C4-1557B6FB8EB3}" xr6:coauthVersionLast="47" xr6:coauthVersionMax="47" xr10:uidLastSave="{00000000-0000-0000-0000-000000000000}"/>
  <bookViews>
    <workbookView xWindow="-120" yWindow="-120" windowWidth="29040" windowHeight="15840" firstSheet="14" activeTab="15" xr2:uid="{00000000-000D-0000-FFFF-FFFF00000000}"/>
  </bookViews>
  <sheets>
    <sheet name="SMI" sheetId="9" r:id="rId1"/>
    <sheet name="Hoja1" sheetId="19" r:id="rId2"/>
    <sheet name="Impto Unico" sheetId="12" r:id="rId3"/>
    <sheet name="Liquidacion Veronica Lopez" sheetId="22" r:id="rId4"/>
    <sheet name="Plantilla Veronica" sheetId="23" r:id="rId5"/>
    <sheet name="Liquidacion Filip Carrasco" sheetId="24" r:id="rId6"/>
    <sheet name="Plantilla Filip" sheetId="25" r:id="rId7"/>
    <sheet name="Liquidacion Rolando Carrasco" sheetId="31" r:id="rId8"/>
    <sheet name="Plantilla Rolando" sheetId="32" r:id="rId9"/>
    <sheet name="Liquidacion Helena Carrascova" sheetId="33" r:id="rId10"/>
    <sheet name="Plantilla Helena" sheetId="47" r:id="rId11"/>
    <sheet name="Liquidacion Angelis Fernandez" sheetId="35" r:id="rId12"/>
    <sheet name="Plantilla Angeliz" sheetId="48" r:id="rId13"/>
    <sheet name="Liquidacion Carlos Figueroa" sheetId="37" r:id="rId14"/>
    <sheet name="Plantilla Carlos" sheetId="49" r:id="rId15"/>
    <sheet name="Liquidacion Favio Remache" sheetId="39" r:id="rId16"/>
    <sheet name="Plantilla Favio" sheetId="50" r:id="rId17"/>
    <sheet name="Liquidacion Ingrid Soto" sheetId="41" r:id="rId18"/>
    <sheet name="Plantilla Ingrid" sheetId="51" r:id="rId19"/>
    <sheet name="Liquidacion Santana JN Francois" sheetId="43" r:id="rId20"/>
    <sheet name="Plantilla Santana" sheetId="52" r:id="rId21"/>
    <sheet name="Liquidacion Freddy Perez" sheetId="45" r:id="rId22"/>
    <sheet name="Plantilla Freddy" sheetId="53" r:id="rId23"/>
    <sheet name="Liquidacion Osiris Junadette" sheetId="54" r:id="rId24"/>
    <sheet name="Plantilla Osiris Junadette" sheetId="55" r:id="rId25"/>
    <sheet name="Libro Remuneraciones" sheetId="30" r:id="rId26"/>
    <sheet name="Hoja2" sheetId="56" r:id="rId27"/>
    <sheet name="Hoja3" sheetId="57" r:id="rId28"/>
  </sheets>
  <definedNames>
    <definedName name="_xlnm._FilterDatabase" localSheetId="26" hidden="1">Hoja2!$B$5:$M$17</definedName>
    <definedName name="_xlnm._FilterDatabase" localSheetId="27" hidden="1">Hoja3!$E$7:$BH$19</definedName>
    <definedName name="_xlnm.Print_Area" localSheetId="12">'Plantilla Angeliz'!$A$1:$T$62</definedName>
    <definedName name="_xlnm.Print_Area" localSheetId="14">'Plantilla Carlos'!$A$1:$T$62</definedName>
    <definedName name="_xlnm.Print_Area" localSheetId="16">'Plantilla Favio'!$A$1:$T$64</definedName>
    <definedName name="_xlnm.Print_Area" localSheetId="6">'Plantilla Filip'!$A$1:$T$56</definedName>
    <definedName name="_xlnm.Print_Area" localSheetId="22">'Plantilla Freddy'!$A$1:$T$62</definedName>
    <definedName name="_xlnm.Print_Area" localSheetId="10">'Plantilla Helena'!$A$1:$T$60</definedName>
    <definedName name="_xlnm.Print_Area" localSheetId="18">'Plantilla Ingrid'!$A$1:$T$62</definedName>
    <definedName name="_xlnm.Print_Area" localSheetId="24">'Plantilla Osiris Junadette'!$A$1:$T$62</definedName>
    <definedName name="_xlnm.Print_Area" localSheetId="8">'Plantilla Rolando'!$A$1:$T$60</definedName>
    <definedName name="_xlnm.Print_Area" localSheetId="20">'Plantilla Santana'!$A$1:$T$62</definedName>
    <definedName name="_xlnm.Print_Area" localSheetId="4">'Plantilla Veronica'!$A$1:$T$58</definedName>
    <definedName name="Print_Area" localSheetId="12">'Plantilla Angeliz'!$A$1:$T$61</definedName>
    <definedName name="Print_Area" localSheetId="14">'Plantilla Carlos'!$A$1:$T$61</definedName>
    <definedName name="Print_Area" localSheetId="16">'Plantilla Favio'!$A$1:$T$63</definedName>
    <definedName name="Print_Area" localSheetId="6">'Plantilla Filip'!$A$1:$T$55</definedName>
    <definedName name="Print_Area" localSheetId="22">'Plantilla Freddy'!$A$1:$T$61</definedName>
    <definedName name="Print_Area" localSheetId="10">'Plantilla Helena'!$A$1:$T$59</definedName>
    <definedName name="Print_Area" localSheetId="18">'Plantilla Ingrid'!$A$1:$T$61</definedName>
    <definedName name="Print_Area" localSheetId="24">'Plantilla Osiris Junadette'!$A$1:$T$61</definedName>
    <definedName name="Print_Area" localSheetId="8">'Plantilla Rolando'!$A$1:$T$59</definedName>
    <definedName name="Print_Area" localSheetId="20">'Plantilla Santana'!$A$1:$T$61</definedName>
    <definedName name="Print_Area" localSheetId="4">'Plantilla Veronica'!$A$1:$T$57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39" l="1"/>
  <c r="C9" i="45" l="1"/>
  <c r="D9" i="53"/>
  <c r="AM19" i="57"/>
  <c r="AL19" i="57"/>
  <c r="AC19" i="57"/>
  <c r="AB19" i="57"/>
  <c r="AA19" i="57"/>
  <c r="Z19" i="57"/>
  <c r="V19" i="57"/>
  <c r="T19" i="57"/>
  <c r="S19" i="57"/>
  <c r="R19" i="57"/>
  <c r="BF18" i="57"/>
  <c r="AZ18" i="57"/>
  <c r="AW18" i="57"/>
  <c r="AG18" i="57"/>
  <c r="AX18" i="57"/>
  <c r="AD18" i="57"/>
  <c r="W18" i="57"/>
  <c r="Y18" i="57" s="1"/>
  <c r="F18" i="57"/>
  <c r="E18" i="57"/>
  <c r="BF17" i="57"/>
  <c r="AW17" i="57"/>
  <c r="AP17" i="57"/>
  <c r="AG17" i="57"/>
  <c r="AZ17" i="57" s="1"/>
  <c r="AE17" i="57"/>
  <c r="AX17" i="57" s="1"/>
  <c r="AD17" i="57"/>
  <c r="Y17" i="57"/>
  <c r="BB17" i="57" s="1"/>
  <c r="W17" i="57"/>
  <c r="BF16" i="57"/>
  <c r="AZ16" i="57"/>
  <c r="AX16" i="57"/>
  <c r="AW16" i="57"/>
  <c r="AP16" i="57"/>
  <c r="AG16" i="57"/>
  <c r="AE16" i="57"/>
  <c r="AD16" i="57"/>
  <c r="P16" i="57"/>
  <c r="BF15" i="57"/>
  <c r="AZ15" i="57"/>
  <c r="AW15" i="57"/>
  <c r="AP15" i="57"/>
  <c r="AG15" i="57"/>
  <c r="AE15" i="57"/>
  <c r="AX15" i="57" s="1"/>
  <c r="AD15" i="57"/>
  <c r="W15" i="57"/>
  <c r="Y15" i="57" s="1"/>
  <c r="P15" i="57"/>
  <c r="BF14" i="57"/>
  <c r="AX14" i="57"/>
  <c r="AW14" i="57"/>
  <c r="AP14" i="57"/>
  <c r="AJ14" i="57"/>
  <c r="AG14" i="57"/>
  <c r="AZ14" i="57" s="1"/>
  <c r="AE14" i="57"/>
  <c r="AD14" i="57"/>
  <c r="W14" i="57"/>
  <c r="U14" i="57"/>
  <c r="Y14" i="57" s="1"/>
  <c r="P14" i="57"/>
  <c r="BF13" i="57"/>
  <c r="AW13" i="57"/>
  <c r="AP13" i="57"/>
  <c r="AG13" i="57"/>
  <c r="AZ13" i="57" s="1"/>
  <c r="AE13" i="57"/>
  <c r="AX13" i="57" s="1"/>
  <c r="AD13" i="57"/>
  <c r="Y13" i="57"/>
  <c r="BB13" i="57" s="1"/>
  <c r="X13" i="57"/>
  <c r="W13" i="57"/>
  <c r="P13" i="57"/>
  <c r="BF12" i="57"/>
  <c r="AZ12" i="57"/>
  <c r="AW12" i="57"/>
  <c r="AP12" i="57"/>
  <c r="AG12" i="57"/>
  <c r="AE12" i="57"/>
  <c r="AX12" i="57" s="1"/>
  <c r="AD12" i="57"/>
  <c r="X12" i="57"/>
  <c r="X19" i="57" s="1"/>
  <c r="W12" i="57"/>
  <c r="U12" i="57"/>
  <c r="P12" i="57"/>
  <c r="BF11" i="57"/>
  <c r="AZ11" i="57"/>
  <c r="AX11" i="57"/>
  <c r="AW11" i="57"/>
  <c r="AP11" i="57"/>
  <c r="AG11" i="57"/>
  <c r="AE11" i="57"/>
  <c r="AD11" i="57"/>
  <c r="W11" i="57"/>
  <c r="U11" i="57"/>
  <c r="P11" i="57"/>
  <c r="AW10" i="57"/>
  <c r="AP10" i="57"/>
  <c r="AJ10" i="57"/>
  <c r="AG10" i="57"/>
  <c r="AZ10" i="57" s="1"/>
  <c r="AE10" i="57"/>
  <c r="AX10" i="57" s="1"/>
  <c r="AD10" i="57"/>
  <c r="W10" i="57"/>
  <c r="Y10" i="57" s="1"/>
  <c r="P10" i="57"/>
  <c r="BF9" i="57"/>
  <c r="AW9" i="57"/>
  <c r="AP9" i="57"/>
  <c r="AG9" i="57"/>
  <c r="AZ9" i="57" s="1"/>
  <c r="AE9" i="57"/>
  <c r="AX9" i="57" s="1"/>
  <c r="AD9" i="57"/>
  <c r="Y9" i="57"/>
  <c r="BB9" i="57" s="1"/>
  <c r="W9" i="57"/>
  <c r="P9" i="57"/>
  <c r="AW8" i="57"/>
  <c r="AO8" i="57"/>
  <c r="AO19" i="57" s="1"/>
  <c r="AN8" i="57"/>
  <c r="AP8" i="57" s="1"/>
  <c r="AG8" i="57"/>
  <c r="AZ8" i="57" s="1"/>
  <c r="AE8" i="57"/>
  <c r="AE19" i="57" s="1"/>
  <c r="AD8" i="57"/>
  <c r="Y8" i="57"/>
  <c r="W8" i="57"/>
  <c r="P8" i="57"/>
  <c r="H8" i="57"/>
  <c r="AZ9" i="30"/>
  <c r="AZ10" i="30"/>
  <c r="AZ11" i="30"/>
  <c r="AZ12" i="30"/>
  <c r="AZ13" i="30"/>
  <c r="AZ14" i="30"/>
  <c r="AZ15" i="30"/>
  <c r="AZ16" i="30"/>
  <c r="AZ17" i="30"/>
  <c r="AZ18" i="30"/>
  <c r="AZ8" i="30"/>
  <c r="BI9" i="30"/>
  <c r="BI11" i="30"/>
  <c r="BI12" i="30"/>
  <c r="BI13" i="30"/>
  <c r="BI14" i="30"/>
  <c r="BI15" i="30"/>
  <c r="BI16" i="30"/>
  <c r="BI17" i="30"/>
  <c r="BI18" i="30"/>
  <c r="C9" i="24"/>
  <c r="D4" i="22"/>
  <c r="B42" i="51"/>
  <c r="B40" i="51"/>
  <c r="B38" i="51"/>
  <c r="B22" i="51"/>
  <c r="B42" i="52"/>
  <c r="B40" i="52"/>
  <c r="B26" i="55"/>
  <c r="B24" i="55"/>
  <c r="B22" i="55"/>
  <c r="B28" i="55"/>
  <c r="B40" i="55"/>
  <c r="B42" i="55"/>
  <c r="AD19" i="30"/>
  <c r="AC19" i="30"/>
  <c r="W19" i="30"/>
  <c r="V19" i="30"/>
  <c r="U19" i="30"/>
  <c r="AP19" i="30"/>
  <c r="AJ18" i="30"/>
  <c r="BC18" i="30" s="1"/>
  <c r="AH18" i="30"/>
  <c r="AO19" i="30"/>
  <c r="AF19" i="30"/>
  <c r="AE19" i="30"/>
  <c r="Y19" i="30"/>
  <c r="AG18" i="30"/>
  <c r="Z18" i="30"/>
  <c r="AB18" i="30" s="1"/>
  <c r="BD18" i="30" s="1"/>
  <c r="F18" i="30"/>
  <c r="E18" i="30"/>
  <c r="B42" i="53"/>
  <c r="B40" i="53"/>
  <c r="B28" i="53"/>
  <c r="B26" i="53"/>
  <c r="B24" i="53"/>
  <c r="B22" i="53"/>
  <c r="B28" i="52"/>
  <c r="B26" i="52"/>
  <c r="B24" i="52"/>
  <c r="B22" i="52"/>
  <c r="B24" i="51"/>
  <c r="B26" i="51"/>
  <c r="B28" i="51"/>
  <c r="B42" i="49"/>
  <c r="B40" i="49"/>
  <c r="B28" i="49"/>
  <c r="B26" i="49"/>
  <c r="B24" i="49"/>
  <c r="B22" i="49"/>
  <c r="B28" i="48"/>
  <c r="B26" i="48"/>
  <c r="B24" i="48"/>
  <c r="B22" i="48"/>
  <c r="B28" i="47"/>
  <c r="B26" i="47"/>
  <c r="B24" i="47"/>
  <c r="B22" i="47"/>
  <c r="E3" i="22"/>
  <c r="J32" i="53"/>
  <c r="B32" i="53"/>
  <c r="B42" i="48"/>
  <c r="B40" i="48"/>
  <c r="C8" i="45"/>
  <c r="C8" i="43"/>
  <c r="AJ17" i="30"/>
  <c r="BC17" i="30" s="1"/>
  <c r="AH17" i="30"/>
  <c r="BA17" i="30" s="1"/>
  <c r="Z17" i="30"/>
  <c r="AB17" i="30" s="1"/>
  <c r="BD17" i="30" s="1"/>
  <c r="C8" i="54"/>
  <c r="M5" i="54" s="1"/>
  <c r="C9" i="54" s="1"/>
  <c r="J24" i="55" s="1"/>
  <c r="B38" i="55"/>
  <c r="B36" i="55"/>
  <c r="J30" i="55"/>
  <c r="B30" i="55"/>
  <c r="J28" i="55"/>
  <c r="J26" i="55"/>
  <c r="J22" i="55"/>
  <c r="B15" i="55"/>
  <c r="D11" i="55"/>
  <c r="F10" i="55"/>
  <c r="D9" i="55"/>
  <c r="C8" i="55"/>
  <c r="I35" i="54"/>
  <c r="N18" i="54"/>
  <c r="M18" i="54"/>
  <c r="L18" i="54"/>
  <c r="K18" i="54"/>
  <c r="J18" i="54"/>
  <c r="N17" i="54"/>
  <c r="M17" i="54"/>
  <c r="L17" i="54"/>
  <c r="K17" i="54"/>
  <c r="J17" i="54"/>
  <c r="N16" i="54"/>
  <c r="M16" i="54"/>
  <c r="L16" i="54"/>
  <c r="K16" i="54"/>
  <c r="J16" i="54"/>
  <c r="N15" i="54"/>
  <c r="M15" i="54"/>
  <c r="L15" i="54"/>
  <c r="K15" i="54"/>
  <c r="J15" i="54"/>
  <c r="N14" i="54"/>
  <c r="M14" i="54"/>
  <c r="L14" i="54"/>
  <c r="K14" i="54"/>
  <c r="J14" i="54"/>
  <c r="N13" i="54"/>
  <c r="M13" i="54"/>
  <c r="L13" i="54"/>
  <c r="K13" i="54"/>
  <c r="J13" i="54"/>
  <c r="N12" i="54"/>
  <c r="M12" i="54"/>
  <c r="L12" i="54"/>
  <c r="K12" i="54"/>
  <c r="J12" i="54"/>
  <c r="N11" i="54"/>
  <c r="M11" i="54"/>
  <c r="L11" i="54"/>
  <c r="K11" i="54"/>
  <c r="J11" i="54"/>
  <c r="J10" i="54"/>
  <c r="B1" i="54" s="1"/>
  <c r="C1" i="54" s="1"/>
  <c r="D9" i="54"/>
  <c r="D8" i="54"/>
  <c r="G7" i="54"/>
  <c r="M6" i="54"/>
  <c r="I6" i="54"/>
  <c r="J6" i="54" s="1"/>
  <c r="L4" i="54"/>
  <c r="L5" i="54" s="1"/>
  <c r="G4" i="54"/>
  <c r="G5" i="54" s="1"/>
  <c r="D1" i="54"/>
  <c r="B38" i="53"/>
  <c r="B36" i="53"/>
  <c r="J30" i="53"/>
  <c r="B30" i="53"/>
  <c r="J28" i="53"/>
  <c r="J26" i="53"/>
  <c r="J22" i="53"/>
  <c r="B15" i="53"/>
  <c r="D11" i="53"/>
  <c r="F10" i="53"/>
  <c r="C8" i="53"/>
  <c r="AJ16" i="30"/>
  <c r="BC16" i="30" s="1"/>
  <c r="AH16" i="30"/>
  <c r="BA16" i="30" s="1"/>
  <c r="B38" i="52"/>
  <c r="B36" i="52"/>
  <c r="J28" i="52"/>
  <c r="J26" i="52"/>
  <c r="J22" i="52"/>
  <c r="B15" i="52"/>
  <c r="D11" i="52"/>
  <c r="F10" i="52"/>
  <c r="D9" i="52"/>
  <c r="C8" i="52"/>
  <c r="P44" i="50"/>
  <c r="B44" i="50"/>
  <c r="J45" i="51"/>
  <c r="B36" i="51"/>
  <c r="J32" i="51"/>
  <c r="B32" i="51"/>
  <c r="B30" i="51"/>
  <c r="J30" i="51"/>
  <c r="J28" i="51"/>
  <c r="J26" i="51"/>
  <c r="J24" i="51"/>
  <c r="J22" i="51"/>
  <c r="B15" i="51"/>
  <c r="D11" i="51"/>
  <c r="F10" i="51"/>
  <c r="D9" i="51"/>
  <c r="C8" i="51"/>
  <c r="B42" i="50"/>
  <c r="B40" i="50"/>
  <c r="B38" i="50"/>
  <c r="B36" i="50"/>
  <c r="J30" i="50"/>
  <c r="J28" i="50"/>
  <c r="J26" i="50"/>
  <c r="B30" i="50"/>
  <c r="B28" i="50"/>
  <c r="B26" i="50"/>
  <c r="B24" i="50"/>
  <c r="B22" i="50"/>
  <c r="B38" i="49"/>
  <c r="B36" i="49"/>
  <c r="B36" i="47"/>
  <c r="B38" i="48"/>
  <c r="B36" i="48"/>
  <c r="B15" i="50"/>
  <c r="D11" i="50"/>
  <c r="F10" i="50"/>
  <c r="D9" i="50"/>
  <c r="C8" i="50"/>
  <c r="J32" i="49"/>
  <c r="B32" i="49"/>
  <c r="B30" i="49"/>
  <c r="J30" i="49"/>
  <c r="J28" i="49"/>
  <c r="J26" i="49"/>
  <c r="B15" i="49"/>
  <c r="D11" i="49"/>
  <c r="F10" i="49"/>
  <c r="D9" i="49"/>
  <c r="C8" i="49"/>
  <c r="J32" i="48"/>
  <c r="J30" i="48"/>
  <c r="B32" i="48"/>
  <c r="B30" i="48"/>
  <c r="J28" i="48"/>
  <c r="J26" i="48"/>
  <c r="B15" i="48"/>
  <c r="D11" i="48"/>
  <c r="F10" i="48"/>
  <c r="D9" i="48"/>
  <c r="C8" i="48"/>
  <c r="B40" i="47"/>
  <c r="B38" i="47"/>
  <c r="B34" i="47"/>
  <c r="J28" i="47"/>
  <c r="J26" i="47"/>
  <c r="J24" i="47"/>
  <c r="B15" i="47"/>
  <c r="J22" i="47"/>
  <c r="D11" i="47"/>
  <c r="F10" i="47"/>
  <c r="D9" i="47"/>
  <c r="C8" i="47"/>
  <c r="J30" i="32"/>
  <c r="B30" i="32"/>
  <c r="B34" i="25"/>
  <c r="I35" i="45"/>
  <c r="N18" i="45"/>
  <c r="M18" i="45"/>
  <c r="L18" i="45"/>
  <c r="K18" i="45"/>
  <c r="J18" i="45"/>
  <c r="N17" i="45"/>
  <c r="M17" i="45"/>
  <c r="L17" i="45"/>
  <c r="K17" i="45"/>
  <c r="J17" i="45"/>
  <c r="N16" i="45"/>
  <c r="M16" i="45"/>
  <c r="L16" i="45"/>
  <c r="K16" i="45"/>
  <c r="J16" i="45"/>
  <c r="N15" i="45"/>
  <c r="M15" i="45"/>
  <c r="L15" i="45"/>
  <c r="K15" i="45"/>
  <c r="J15" i="45"/>
  <c r="N14" i="45"/>
  <c r="M14" i="45"/>
  <c r="L14" i="45"/>
  <c r="K14" i="45"/>
  <c r="J14" i="45"/>
  <c r="N13" i="45"/>
  <c r="M13" i="45"/>
  <c r="L13" i="45"/>
  <c r="K13" i="45"/>
  <c r="J13" i="45"/>
  <c r="N12" i="45"/>
  <c r="M12" i="45"/>
  <c r="L12" i="45"/>
  <c r="K12" i="45"/>
  <c r="J12" i="45"/>
  <c r="N11" i="45"/>
  <c r="M11" i="45"/>
  <c r="L11" i="45"/>
  <c r="K11" i="45"/>
  <c r="J11" i="45"/>
  <c r="J10" i="45"/>
  <c r="B1" i="45" s="1"/>
  <c r="D9" i="45"/>
  <c r="D8" i="45"/>
  <c r="G7" i="45"/>
  <c r="M6" i="45"/>
  <c r="I6" i="45"/>
  <c r="E5" i="45" s="1"/>
  <c r="M5" i="45"/>
  <c r="L5" i="45"/>
  <c r="L4" i="45"/>
  <c r="G4" i="45"/>
  <c r="G5" i="45" s="1"/>
  <c r="D1" i="45"/>
  <c r="AJ15" i="30"/>
  <c r="BC15" i="30" s="1"/>
  <c r="AH15" i="30"/>
  <c r="BA15" i="30" s="1"/>
  <c r="I35" i="43"/>
  <c r="N18" i="43"/>
  <c r="M18" i="43"/>
  <c r="L18" i="43"/>
  <c r="K18" i="43"/>
  <c r="J18" i="43"/>
  <c r="N17" i="43"/>
  <c r="M17" i="43"/>
  <c r="L17" i="43"/>
  <c r="K17" i="43"/>
  <c r="J17" i="43"/>
  <c r="N16" i="43"/>
  <c r="M16" i="43"/>
  <c r="L16" i="43"/>
  <c r="K16" i="43"/>
  <c r="J16" i="43"/>
  <c r="N15" i="43"/>
  <c r="M15" i="43"/>
  <c r="L15" i="43"/>
  <c r="K15" i="43"/>
  <c r="J15" i="43"/>
  <c r="N14" i="43"/>
  <c r="M14" i="43"/>
  <c r="L14" i="43"/>
  <c r="K14" i="43"/>
  <c r="J14" i="43"/>
  <c r="N13" i="43"/>
  <c r="M13" i="43"/>
  <c r="L13" i="43"/>
  <c r="K13" i="43"/>
  <c r="J13" i="43"/>
  <c r="N12" i="43"/>
  <c r="M12" i="43"/>
  <c r="L12" i="43"/>
  <c r="K12" i="43"/>
  <c r="J12" i="43"/>
  <c r="N11" i="43"/>
  <c r="M11" i="43"/>
  <c r="L11" i="43"/>
  <c r="K11" i="43"/>
  <c r="J11" i="43"/>
  <c r="J10" i="43"/>
  <c r="B1" i="43" s="1"/>
  <c r="C1" i="43" s="1"/>
  <c r="D9" i="43"/>
  <c r="D8" i="43"/>
  <c r="M5" i="43"/>
  <c r="C9" i="43" s="1"/>
  <c r="G7" i="43"/>
  <c r="M6" i="43"/>
  <c r="I6" i="43"/>
  <c r="E5" i="43" s="1"/>
  <c r="L4" i="43"/>
  <c r="L5" i="43" s="1"/>
  <c r="G4" i="43"/>
  <c r="G5" i="43" s="1"/>
  <c r="D1" i="43"/>
  <c r="AJ14" i="30"/>
  <c r="BC14" i="30" s="1"/>
  <c r="AH14" i="30"/>
  <c r="BA14" i="30" s="1"/>
  <c r="Z14" i="30"/>
  <c r="D8" i="39"/>
  <c r="D8" i="37"/>
  <c r="D8" i="35"/>
  <c r="M5" i="41"/>
  <c r="M5" i="33"/>
  <c r="M5" i="31"/>
  <c r="D8" i="41"/>
  <c r="I35" i="41"/>
  <c r="N18" i="41"/>
  <c r="M18" i="41"/>
  <c r="L18" i="41"/>
  <c r="K18" i="41"/>
  <c r="J18" i="41"/>
  <c r="N17" i="41"/>
  <c r="M17" i="41"/>
  <c r="L17" i="41"/>
  <c r="K17" i="41"/>
  <c r="J17" i="41"/>
  <c r="N16" i="41"/>
  <c r="M16" i="41"/>
  <c r="L16" i="41"/>
  <c r="K16" i="41"/>
  <c r="J16" i="41"/>
  <c r="N15" i="41"/>
  <c r="M15" i="41"/>
  <c r="L15" i="41"/>
  <c r="K15" i="41"/>
  <c r="J15" i="41"/>
  <c r="N14" i="41"/>
  <c r="M14" i="41"/>
  <c r="L14" i="41"/>
  <c r="K14" i="41"/>
  <c r="J14" i="41"/>
  <c r="N13" i="41"/>
  <c r="M13" i="41"/>
  <c r="L13" i="41"/>
  <c r="K13" i="41"/>
  <c r="J13" i="41"/>
  <c r="N12" i="41"/>
  <c r="M12" i="41"/>
  <c r="L12" i="41"/>
  <c r="K12" i="41"/>
  <c r="J12" i="41"/>
  <c r="N11" i="41"/>
  <c r="M11" i="41"/>
  <c r="L11" i="41"/>
  <c r="K11" i="41"/>
  <c r="J11" i="41"/>
  <c r="J10" i="41"/>
  <c r="B1" i="41" s="1"/>
  <c r="C1" i="41" s="1"/>
  <c r="D9" i="41"/>
  <c r="G7" i="41"/>
  <c r="M6" i="41"/>
  <c r="I6" i="41"/>
  <c r="E5" i="41" s="1"/>
  <c r="L4" i="41"/>
  <c r="L5" i="41" s="1"/>
  <c r="G4" i="41"/>
  <c r="G5" i="41" s="1"/>
  <c r="D1" i="41"/>
  <c r="AJ13" i="30"/>
  <c r="BC13" i="30" s="1"/>
  <c r="AH13" i="30"/>
  <c r="BA13" i="30" s="1"/>
  <c r="I35" i="39"/>
  <c r="N18" i="39"/>
  <c r="M18" i="39"/>
  <c r="L18" i="39"/>
  <c r="K18" i="39"/>
  <c r="J18" i="39"/>
  <c r="N17" i="39"/>
  <c r="M17" i="39"/>
  <c r="L17" i="39"/>
  <c r="K17" i="39"/>
  <c r="J17" i="39"/>
  <c r="N16" i="39"/>
  <c r="M16" i="39"/>
  <c r="L16" i="39"/>
  <c r="K16" i="39"/>
  <c r="J16" i="39"/>
  <c r="N15" i="39"/>
  <c r="M15" i="39"/>
  <c r="L15" i="39"/>
  <c r="K15" i="39"/>
  <c r="J15" i="39"/>
  <c r="N14" i="39"/>
  <c r="M14" i="39"/>
  <c r="L14" i="39"/>
  <c r="K14" i="39"/>
  <c r="J14" i="39"/>
  <c r="N13" i="39"/>
  <c r="M13" i="39"/>
  <c r="L13" i="39"/>
  <c r="K13" i="39"/>
  <c r="J13" i="39"/>
  <c r="N12" i="39"/>
  <c r="M12" i="39"/>
  <c r="L12" i="39"/>
  <c r="K12" i="39"/>
  <c r="J12" i="39"/>
  <c r="N11" i="39"/>
  <c r="M11" i="39"/>
  <c r="L11" i="39"/>
  <c r="K11" i="39"/>
  <c r="J11" i="39"/>
  <c r="J10" i="39"/>
  <c r="B1" i="39" s="1"/>
  <c r="C1" i="39" s="1"/>
  <c r="D9" i="39"/>
  <c r="G7" i="39"/>
  <c r="M6" i="39"/>
  <c r="I6" i="39"/>
  <c r="E5" i="39" s="1"/>
  <c r="L5" i="39"/>
  <c r="L4" i="39"/>
  <c r="G4" i="39"/>
  <c r="G5" i="39" s="1"/>
  <c r="D1" i="39"/>
  <c r="AJ12" i="30"/>
  <c r="BC12" i="30" s="1"/>
  <c r="B34" i="32"/>
  <c r="AH12" i="30"/>
  <c r="BA12" i="30" s="1"/>
  <c r="H10" i="37"/>
  <c r="G10" i="37"/>
  <c r="G7" i="37"/>
  <c r="G8" i="37" s="1"/>
  <c r="G6" i="37"/>
  <c r="G9" i="37" s="1"/>
  <c r="E3" i="37" s="1"/>
  <c r="G5" i="37"/>
  <c r="G4" i="37"/>
  <c r="I35" i="37"/>
  <c r="N18" i="37"/>
  <c r="M18" i="37"/>
  <c r="L18" i="37"/>
  <c r="K18" i="37"/>
  <c r="J18" i="37"/>
  <c r="N17" i="37"/>
  <c r="M17" i="37"/>
  <c r="L17" i="37"/>
  <c r="K17" i="37"/>
  <c r="J17" i="37"/>
  <c r="N16" i="37"/>
  <c r="M16" i="37"/>
  <c r="L16" i="37"/>
  <c r="K16" i="37"/>
  <c r="J16" i="37"/>
  <c r="N15" i="37"/>
  <c r="M15" i="37"/>
  <c r="L15" i="37"/>
  <c r="K15" i="37"/>
  <c r="J15" i="37"/>
  <c r="N14" i="37"/>
  <c r="M14" i="37"/>
  <c r="L14" i="37"/>
  <c r="K14" i="37"/>
  <c r="J14" i="37"/>
  <c r="N13" i="37"/>
  <c r="M13" i="37"/>
  <c r="L13" i="37"/>
  <c r="K13" i="37"/>
  <c r="J13" i="37"/>
  <c r="N12" i="37"/>
  <c r="M12" i="37"/>
  <c r="L12" i="37"/>
  <c r="K12" i="37"/>
  <c r="J12" i="37"/>
  <c r="N11" i="37"/>
  <c r="M11" i="37"/>
  <c r="L11" i="37"/>
  <c r="K11" i="37"/>
  <c r="J11" i="37"/>
  <c r="J10" i="37"/>
  <c r="B1" i="37" s="1"/>
  <c r="C1" i="37" s="1"/>
  <c r="D9" i="37"/>
  <c r="C8" i="37"/>
  <c r="M6" i="37"/>
  <c r="I6" i="37"/>
  <c r="J6" i="37" s="1"/>
  <c r="L4" i="37"/>
  <c r="L5" i="37" s="1"/>
  <c r="D1" i="37"/>
  <c r="AJ11" i="30"/>
  <c r="BC11" i="30" s="1"/>
  <c r="AH11" i="30"/>
  <c r="BA11" i="30" s="1"/>
  <c r="I35" i="35"/>
  <c r="N18" i="35"/>
  <c r="M18" i="35"/>
  <c r="L18" i="35"/>
  <c r="K18" i="35"/>
  <c r="J18" i="35"/>
  <c r="N17" i="35"/>
  <c r="M17" i="35"/>
  <c r="L17" i="35"/>
  <c r="K17" i="35"/>
  <c r="J17" i="35"/>
  <c r="N16" i="35"/>
  <c r="M16" i="35"/>
  <c r="L16" i="35"/>
  <c r="K16" i="35"/>
  <c r="J16" i="35"/>
  <c r="N15" i="35"/>
  <c r="M15" i="35"/>
  <c r="L15" i="35"/>
  <c r="K15" i="35"/>
  <c r="J15" i="35"/>
  <c r="N14" i="35"/>
  <c r="M14" i="35"/>
  <c r="L14" i="35"/>
  <c r="K14" i="35"/>
  <c r="J14" i="35"/>
  <c r="N13" i="35"/>
  <c r="M13" i="35"/>
  <c r="L13" i="35"/>
  <c r="K13" i="35"/>
  <c r="J13" i="35"/>
  <c r="N12" i="35"/>
  <c r="M12" i="35"/>
  <c r="L12" i="35"/>
  <c r="K12" i="35"/>
  <c r="J12" i="35"/>
  <c r="N11" i="35"/>
  <c r="M11" i="35"/>
  <c r="L11" i="35"/>
  <c r="K11" i="35"/>
  <c r="J11" i="35"/>
  <c r="J10" i="35"/>
  <c r="B1" i="35" s="1"/>
  <c r="C1" i="35" s="1"/>
  <c r="D9" i="35"/>
  <c r="C8" i="35"/>
  <c r="M6" i="35"/>
  <c r="I6" i="35"/>
  <c r="J6" i="35" s="1"/>
  <c r="L4" i="35"/>
  <c r="L5" i="35" s="1"/>
  <c r="D1" i="35"/>
  <c r="AJ10" i="30"/>
  <c r="BC10" i="30" s="1"/>
  <c r="AH10" i="30"/>
  <c r="BA10" i="30" s="1"/>
  <c r="C8" i="33"/>
  <c r="I35" i="33"/>
  <c r="N18" i="33"/>
  <c r="M18" i="33"/>
  <c r="L18" i="33"/>
  <c r="K18" i="33"/>
  <c r="J18" i="33"/>
  <c r="N17" i="33"/>
  <c r="M17" i="33"/>
  <c r="L17" i="33"/>
  <c r="K17" i="33"/>
  <c r="J17" i="33"/>
  <c r="N16" i="33"/>
  <c r="M16" i="33"/>
  <c r="L16" i="33"/>
  <c r="K16" i="33"/>
  <c r="J16" i="33"/>
  <c r="N15" i="33"/>
  <c r="M15" i="33"/>
  <c r="L15" i="33"/>
  <c r="K15" i="33"/>
  <c r="J15" i="33"/>
  <c r="N14" i="33"/>
  <c r="M14" i="33"/>
  <c r="L14" i="33"/>
  <c r="K14" i="33"/>
  <c r="J14" i="33"/>
  <c r="N13" i="33"/>
  <c r="M13" i="33"/>
  <c r="L13" i="33"/>
  <c r="K13" i="33"/>
  <c r="J13" i="33"/>
  <c r="N12" i="33"/>
  <c r="M12" i="33"/>
  <c r="L12" i="33"/>
  <c r="K12" i="33"/>
  <c r="J12" i="33"/>
  <c r="N11" i="33"/>
  <c r="M11" i="33"/>
  <c r="L11" i="33"/>
  <c r="K11" i="33"/>
  <c r="J11" i="33"/>
  <c r="J10" i="33"/>
  <c r="B1" i="33" s="1"/>
  <c r="C1" i="33" s="1"/>
  <c r="D9" i="33"/>
  <c r="M6" i="33"/>
  <c r="I6" i="33"/>
  <c r="J6" i="33" s="1"/>
  <c r="L4" i="33"/>
  <c r="L5" i="33" s="1"/>
  <c r="D1" i="33"/>
  <c r="I35" i="31"/>
  <c r="AS9" i="30"/>
  <c r="AS10" i="30"/>
  <c r="AS11" i="30"/>
  <c r="AS12" i="30"/>
  <c r="AS13" i="30"/>
  <c r="AS14" i="30"/>
  <c r="AS15" i="30"/>
  <c r="AS16" i="30"/>
  <c r="AS17" i="30"/>
  <c r="AG9" i="30"/>
  <c r="AG10" i="30"/>
  <c r="AG11" i="30"/>
  <c r="AG12" i="30"/>
  <c r="AG13" i="30"/>
  <c r="AG14" i="30"/>
  <c r="AG15" i="30"/>
  <c r="AG16" i="30"/>
  <c r="AG17" i="30"/>
  <c r="AG8" i="30"/>
  <c r="D9" i="31"/>
  <c r="B36" i="32" s="1"/>
  <c r="AJ9" i="30"/>
  <c r="BC9" i="30" s="1"/>
  <c r="AH9" i="30"/>
  <c r="BA9" i="30" s="1"/>
  <c r="C9" i="31"/>
  <c r="Z9" i="30" s="1"/>
  <c r="AB9" i="30" s="1"/>
  <c r="BD9" i="30" s="1"/>
  <c r="B40" i="32"/>
  <c r="B38" i="32"/>
  <c r="J28" i="32"/>
  <c r="B28" i="32"/>
  <c r="J26" i="32"/>
  <c r="B26" i="32"/>
  <c r="B24" i="32"/>
  <c r="B22" i="32"/>
  <c r="B15" i="32"/>
  <c r="D11" i="32"/>
  <c r="D9" i="32"/>
  <c r="C8" i="32"/>
  <c r="N18" i="31"/>
  <c r="M18" i="31"/>
  <c r="L18" i="31"/>
  <c r="K18" i="31"/>
  <c r="J18" i="31"/>
  <c r="N17" i="31"/>
  <c r="M17" i="31"/>
  <c r="L17" i="31"/>
  <c r="K17" i="31"/>
  <c r="J17" i="31"/>
  <c r="N16" i="31"/>
  <c r="M16" i="31"/>
  <c r="L16" i="31"/>
  <c r="K16" i="31"/>
  <c r="J16" i="31"/>
  <c r="N15" i="31"/>
  <c r="M15" i="31"/>
  <c r="L15" i="31"/>
  <c r="K15" i="31"/>
  <c r="J15" i="31"/>
  <c r="N14" i="31"/>
  <c r="M14" i="31"/>
  <c r="L14" i="31"/>
  <c r="K14" i="31"/>
  <c r="J14" i="31"/>
  <c r="N13" i="31"/>
  <c r="M13" i="31"/>
  <c r="L13" i="31"/>
  <c r="K13" i="31"/>
  <c r="J13" i="31"/>
  <c r="N12" i="31"/>
  <c r="M12" i="31"/>
  <c r="L12" i="31"/>
  <c r="K12" i="31"/>
  <c r="J12" i="31"/>
  <c r="N11" i="31"/>
  <c r="M11" i="31"/>
  <c r="L11" i="31"/>
  <c r="K11" i="31"/>
  <c r="J11" i="31"/>
  <c r="J10" i="31"/>
  <c r="B1" i="31" s="1"/>
  <c r="C1" i="31" s="1"/>
  <c r="R3" i="32" s="1"/>
  <c r="J22" i="32"/>
  <c r="M6" i="31"/>
  <c r="I6" i="31"/>
  <c r="K6" i="31" s="1"/>
  <c r="L4" i="31"/>
  <c r="L5" i="31" s="1"/>
  <c r="D1" i="31"/>
  <c r="Z8" i="30"/>
  <c r="AB8" i="30" s="1"/>
  <c r="AR8" i="30"/>
  <c r="AR19" i="30" s="1"/>
  <c r="AQ8" i="30"/>
  <c r="K8" i="30"/>
  <c r="AJ8" i="30"/>
  <c r="BC8" i="30" s="1"/>
  <c r="AH8" i="30"/>
  <c r="BA8" i="30" s="1"/>
  <c r="S16" i="30"/>
  <c r="S15" i="30"/>
  <c r="X14" i="30"/>
  <c r="S14" i="30"/>
  <c r="S13" i="30"/>
  <c r="X12" i="30"/>
  <c r="S12" i="30"/>
  <c r="X11" i="30"/>
  <c r="S11" i="30"/>
  <c r="S10" i="30"/>
  <c r="S9" i="30"/>
  <c r="S8" i="30"/>
  <c r="C9" i="22"/>
  <c r="C8" i="24"/>
  <c r="D1" i="22"/>
  <c r="D1" i="24"/>
  <c r="B40" i="25"/>
  <c r="B38" i="25"/>
  <c r="B36" i="25"/>
  <c r="J28" i="25"/>
  <c r="B28" i="25"/>
  <c r="J26" i="25"/>
  <c r="B26" i="25"/>
  <c r="B24" i="25"/>
  <c r="J22" i="25"/>
  <c r="B22" i="25"/>
  <c r="B15" i="25"/>
  <c r="D11" i="25"/>
  <c r="D9" i="25"/>
  <c r="C8" i="25"/>
  <c r="N18" i="24"/>
  <c r="M18" i="24"/>
  <c r="L18" i="24"/>
  <c r="K18" i="24"/>
  <c r="J18" i="24"/>
  <c r="N17" i="24"/>
  <c r="M17" i="24"/>
  <c r="L17" i="24"/>
  <c r="K17" i="24"/>
  <c r="J17" i="24"/>
  <c r="N16" i="24"/>
  <c r="M16" i="24"/>
  <c r="L16" i="24"/>
  <c r="K16" i="24"/>
  <c r="J16" i="24"/>
  <c r="N15" i="24"/>
  <c r="M15" i="24"/>
  <c r="L15" i="24"/>
  <c r="K15" i="24"/>
  <c r="J15" i="24"/>
  <c r="N14" i="24"/>
  <c r="M14" i="24"/>
  <c r="L14" i="24"/>
  <c r="K14" i="24"/>
  <c r="J14" i="24"/>
  <c r="N13" i="24"/>
  <c r="M13" i="24"/>
  <c r="L13" i="24"/>
  <c r="K13" i="24"/>
  <c r="J13" i="24"/>
  <c r="N12" i="24"/>
  <c r="M12" i="24"/>
  <c r="L12" i="24"/>
  <c r="K12" i="24"/>
  <c r="J12" i="24"/>
  <c r="N11" i="24"/>
  <c r="M11" i="24"/>
  <c r="L11" i="24"/>
  <c r="K11" i="24"/>
  <c r="J11" i="24"/>
  <c r="J10" i="24"/>
  <c r="B1" i="24" s="1"/>
  <c r="C1" i="24" s="1"/>
  <c r="R3" i="25" s="1"/>
  <c r="M6" i="24"/>
  <c r="I6" i="24"/>
  <c r="J6" i="24" s="1"/>
  <c r="L5" i="24"/>
  <c r="L4" i="24"/>
  <c r="J26" i="23"/>
  <c r="J28" i="23"/>
  <c r="B28" i="23"/>
  <c r="B26" i="23"/>
  <c r="M6" i="22"/>
  <c r="I24" i="19"/>
  <c r="W16" i="57" l="1"/>
  <c r="Y16" i="57" s="1"/>
  <c r="BB16" i="57" s="1"/>
  <c r="W19" i="57"/>
  <c r="F25" i="57" s="1"/>
  <c r="R3" i="51"/>
  <c r="R3" i="52"/>
  <c r="R3" i="48"/>
  <c r="R3" i="50"/>
  <c r="R3" i="47"/>
  <c r="C1" i="45"/>
  <c r="R3" i="49"/>
  <c r="R3" i="53"/>
  <c r="R3" i="55"/>
  <c r="AD19" i="57"/>
  <c r="AP19" i="57"/>
  <c r="Y11" i="57"/>
  <c r="BA11" i="57" s="1"/>
  <c r="U19" i="57"/>
  <c r="BA15" i="57"/>
  <c r="BB15" i="57"/>
  <c r="BB11" i="57"/>
  <c r="BB18" i="57"/>
  <c r="BA18" i="57"/>
  <c r="BB14" i="57"/>
  <c r="BA14" i="57"/>
  <c r="AX8" i="57"/>
  <c r="AG19" i="57"/>
  <c r="BA13" i="57"/>
  <c r="BA17" i="57"/>
  <c r="Y12" i="57"/>
  <c r="BA9" i="57"/>
  <c r="BE9" i="30"/>
  <c r="BE18" i="30"/>
  <c r="BE17" i="30"/>
  <c r="E5" i="33"/>
  <c r="K6" i="33"/>
  <c r="K6" i="37"/>
  <c r="L6" i="33"/>
  <c r="E5" i="35"/>
  <c r="L6" i="43"/>
  <c r="L6" i="37"/>
  <c r="L6" i="45"/>
  <c r="K6" i="43"/>
  <c r="L6" i="54"/>
  <c r="E5" i="37"/>
  <c r="J6" i="43"/>
  <c r="E5" i="54"/>
  <c r="L6" i="35"/>
  <c r="L6" i="41"/>
  <c r="K6" i="41"/>
  <c r="K6" i="35"/>
  <c r="AJ19" i="30"/>
  <c r="AG19" i="30"/>
  <c r="X19" i="30"/>
  <c r="AH19" i="30"/>
  <c r="AB14" i="30"/>
  <c r="AS8" i="30"/>
  <c r="AS19" i="30" s="1"/>
  <c r="J22" i="49"/>
  <c r="M5" i="37"/>
  <c r="C9" i="37" s="1"/>
  <c r="J24" i="49" s="1"/>
  <c r="AA12" i="30"/>
  <c r="J24" i="52"/>
  <c r="Z15" i="30"/>
  <c r="AB15" i="30" s="1"/>
  <c r="J22" i="48"/>
  <c r="M5" i="35"/>
  <c r="C9" i="35" s="1"/>
  <c r="J24" i="48" s="1"/>
  <c r="J24" i="53"/>
  <c r="Z16" i="30"/>
  <c r="G6" i="54"/>
  <c r="G8" i="54"/>
  <c r="C19" i="54"/>
  <c r="E8" i="54" s="1"/>
  <c r="K6" i="54"/>
  <c r="G8" i="45"/>
  <c r="G6" i="45"/>
  <c r="J6" i="45"/>
  <c r="C19" i="45"/>
  <c r="K6" i="45"/>
  <c r="G8" i="43"/>
  <c r="G6" i="43"/>
  <c r="C19" i="43"/>
  <c r="G8" i="41"/>
  <c r="G6" i="41"/>
  <c r="J6" i="41"/>
  <c r="G6" i="39"/>
  <c r="G8" i="39"/>
  <c r="K6" i="39"/>
  <c r="J6" i="39"/>
  <c r="L6" i="39"/>
  <c r="J24" i="32"/>
  <c r="L6" i="31"/>
  <c r="E5" i="31"/>
  <c r="J6" i="31"/>
  <c r="C19" i="24"/>
  <c r="E8" i="24" s="1"/>
  <c r="AF8" i="57" s="1"/>
  <c r="J24" i="25"/>
  <c r="E5" i="24"/>
  <c r="P36" i="25" s="1"/>
  <c r="L6" i="24"/>
  <c r="K6" i="24"/>
  <c r="E6" i="24"/>
  <c r="C27" i="24"/>
  <c r="J42" i="25" s="1"/>
  <c r="L4" i="22"/>
  <c r="N10" i="19"/>
  <c r="BA16" i="57" l="1"/>
  <c r="O36" i="47"/>
  <c r="AH10" i="57"/>
  <c r="E12" i="24"/>
  <c r="AJ8" i="57" s="1"/>
  <c r="D32" i="24"/>
  <c r="AR8" i="57" s="1"/>
  <c r="AI17" i="30"/>
  <c r="AF17" i="57"/>
  <c r="BA12" i="57"/>
  <c r="BB12" i="57"/>
  <c r="BB19" i="57" s="1"/>
  <c r="Y19" i="57"/>
  <c r="F24" i="57" s="1"/>
  <c r="BD15" i="30"/>
  <c r="BE15" i="30"/>
  <c r="BD14" i="30"/>
  <c r="BE14" i="30"/>
  <c r="D34" i="24"/>
  <c r="D33" i="24"/>
  <c r="E9" i="24"/>
  <c r="AK10" i="30"/>
  <c r="AU8" i="30"/>
  <c r="P34" i="25"/>
  <c r="AI8" i="30"/>
  <c r="G15" i="43"/>
  <c r="E8" i="43"/>
  <c r="AF15" i="57" s="1"/>
  <c r="AB16" i="30"/>
  <c r="G10" i="54"/>
  <c r="H10" i="54" s="1"/>
  <c r="G9" i="54"/>
  <c r="G15" i="54"/>
  <c r="E12" i="54"/>
  <c r="AJ17" i="57" s="1"/>
  <c r="E6" i="54"/>
  <c r="E9" i="54" s="1"/>
  <c r="AH17" i="57" s="1"/>
  <c r="D34" i="54"/>
  <c r="D32" i="54"/>
  <c r="D33" i="54"/>
  <c r="C27" i="54"/>
  <c r="E6" i="45"/>
  <c r="E9" i="45" s="1"/>
  <c r="AH16" i="57" s="1"/>
  <c r="E8" i="45"/>
  <c r="AF16" i="57" s="1"/>
  <c r="D34" i="45"/>
  <c r="D33" i="45"/>
  <c r="D32" i="45"/>
  <c r="C27" i="45"/>
  <c r="J45" i="53" s="1"/>
  <c r="G15" i="45"/>
  <c r="E12" i="45"/>
  <c r="AJ16" i="57" s="1"/>
  <c r="G10" i="45"/>
  <c r="H10" i="45" s="1"/>
  <c r="G9" i="45"/>
  <c r="E6" i="43"/>
  <c r="E9" i="43" s="1"/>
  <c r="AH15" i="57" s="1"/>
  <c r="D34" i="43"/>
  <c r="D33" i="43"/>
  <c r="D32" i="43"/>
  <c r="C27" i="43"/>
  <c r="J45" i="52" s="1"/>
  <c r="E12" i="43"/>
  <c r="AJ15" i="57" s="1"/>
  <c r="G9" i="43"/>
  <c r="G10" i="43"/>
  <c r="H10" i="43" s="1"/>
  <c r="Z12" i="30"/>
  <c r="AB12" i="30" s="1"/>
  <c r="Z11" i="30"/>
  <c r="C19" i="33"/>
  <c r="D32" i="33" s="1"/>
  <c r="Z10" i="30"/>
  <c r="G10" i="41"/>
  <c r="H10" i="41" s="1"/>
  <c r="G9" i="41"/>
  <c r="C8" i="41" s="1"/>
  <c r="G9" i="39"/>
  <c r="G10" i="39"/>
  <c r="H10" i="39" s="1"/>
  <c r="C19" i="37"/>
  <c r="E8" i="37" s="1"/>
  <c r="C19" i="35"/>
  <c r="O40" i="47"/>
  <c r="C19" i="31"/>
  <c r="D34" i="31" s="1"/>
  <c r="E12" i="31"/>
  <c r="AJ9" i="57" s="1"/>
  <c r="BA19" i="57" l="1"/>
  <c r="AW9" i="30"/>
  <c r="AT9" i="57"/>
  <c r="AU15" i="30"/>
  <c r="AR15" i="57"/>
  <c r="AU15" i="57" s="1"/>
  <c r="AU17" i="30"/>
  <c r="AR17" i="57"/>
  <c r="E10" i="24"/>
  <c r="BD8" i="57"/>
  <c r="BG8" i="30"/>
  <c r="O36" i="49"/>
  <c r="AF12" i="57"/>
  <c r="AW16" i="30"/>
  <c r="AT16" i="57"/>
  <c r="AV17" i="30"/>
  <c r="BJ17" i="30" s="1"/>
  <c r="AS17" i="57"/>
  <c r="BG17" i="57" s="1"/>
  <c r="AY15" i="57"/>
  <c r="AU10" i="30"/>
  <c r="AR10" i="57"/>
  <c r="AV15" i="30"/>
  <c r="BJ15" i="30" s="1"/>
  <c r="AS15" i="57"/>
  <c r="BG15" i="57" s="1"/>
  <c r="AU16" i="30"/>
  <c r="AR16" i="57"/>
  <c r="AW17" i="30"/>
  <c r="AT17" i="57"/>
  <c r="AY17" i="57" s="1"/>
  <c r="AV8" i="30"/>
  <c r="BJ8" i="30" s="1"/>
  <c r="AS8" i="57"/>
  <c r="AU8" i="57" s="1"/>
  <c r="AW15" i="30"/>
  <c r="AT15" i="57"/>
  <c r="AV16" i="30"/>
  <c r="BJ16" i="30" s="1"/>
  <c r="AS16" i="57"/>
  <c r="BG16" i="57" s="1"/>
  <c r="P40" i="25"/>
  <c r="AW8" i="30"/>
  <c r="AT8" i="57"/>
  <c r="AY8" i="57" s="1"/>
  <c r="AM8" i="30"/>
  <c r="BD12" i="30"/>
  <c r="BE12" i="30"/>
  <c r="BD16" i="30"/>
  <c r="BE16" i="30"/>
  <c r="D35" i="24"/>
  <c r="O38" i="55"/>
  <c r="AK17" i="30"/>
  <c r="O42" i="55"/>
  <c r="AM17" i="30"/>
  <c r="AB10" i="30"/>
  <c r="E3" i="39"/>
  <c r="C8" i="39" s="1"/>
  <c r="AA13" i="30"/>
  <c r="AA19" i="30" s="1"/>
  <c r="O42" i="52"/>
  <c r="AM15" i="30"/>
  <c r="O38" i="52"/>
  <c r="AK15" i="30"/>
  <c r="O36" i="52"/>
  <c r="AI15" i="30"/>
  <c r="E8" i="35"/>
  <c r="AF11" i="57" s="1"/>
  <c r="AB11" i="30"/>
  <c r="O42" i="53"/>
  <c r="AM16" i="30"/>
  <c r="O36" i="53"/>
  <c r="AI16" i="30"/>
  <c r="O38" i="53"/>
  <c r="AK16" i="30"/>
  <c r="N6" i="54"/>
  <c r="E11" i="54" s="1"/>
  <c r="AI17" i="57" s="1"/>
  <c r="AK17" i="57" s="1"/>
  <c r="AQ17" i="57" s="1"/>
  <c r="O36" i="55"/>
  <c r="J45" i="55"/>
  <c r="D35" i="54"/>
  <c r="N6" i="45"/>
  <c r="E11" i="45" s="1"/>
  <c r="AI16" i="57" s="1"/>
  <c r="AK16" i="57" s="1"/>
  <c r="AQ16" i="57" s="1"/>
  <c r="D35" i="45"/>
  <c r="N6" i="43"/>
  <c r="E11" i="43" s="1"/>
  <c r="AI15" i="57" s="1"/>
  <c r="AK15" i="57" s="1"/>
  <c r="AQ15" i="57" s="1"/>
  <c r="D35" i="43"/>
  <c r="C27" i="33"/>
  <c r="J43" i="47" s="1"/>
  <c r="D33" i="33"/>
  <c r="D34" i="33"/>
  <c r="E6" i="33"/>
  <c r="E9" i="33" s="1"/>
  <c r="E8" i="33"/>
  <c r="AF10" i="57" s="1"/>
  <c r="AM10" i="30"/>
  <c r="O40" i="32"/>
  <c r="AM9" i="30"/>
  <c r="C9" i="41"/>
  <c r="D34" i="37"/>
  <c r="D33" i="37"/>
  <c r="D32" i="37"/>
  <c r="E6" i="37"/>
  <c r="E9" i="37" s="1"/>
  <c r="C27" i="37"/>
  <c r="J45" i="49" s="1"/>
  <c r="AI12" i="30"/>
  <c r="E12" i="37"/>
  <c r="E12" i="35"/>
  <c r="D34" i="35"/>
  <c r="D33" i="35"/>
  <c r="D32" i="35"/>
  <c r="E6" i="35"/>
  <c r="E9" i="35" s="1"/>
  <c r="AH11" i="57" s="1"/>
  <c r="C27" i="35"/>
  <c r="J45" i="48" s="1"/>
  <c r="D32" i="31"/>
  <c r="AR9" i="57" s="1"/>
  <c r="D33" i="31"/>
  <c r="E8" i="31"/>
  <c r="AF9" i="57" s="1"/>
  <c r="C27" i="31"/>
  <c r="J43" i="32" s="1"/>
  <c r="E6" i="31"/>
  <c r="E9" i="31" s="1"/>
  <c r="N6" i="24"/>
  <c r="E11" i="24" s="1"/>
  <c r="AI8" i="57" s="1"/>
  <c r="I6" i="22"/>
  <c r="K6" i="22" s="1"/>
  <c r="AX15" i="30" l="1"/>
  <c r="AX17" i="30"/>
  <c r="AX8" i="30"/>
  <c r="BB8" i="30"/>
  <c r="AX16" i="30"/>
  <c r="AY16" i="57"/>
  <c r="AY16" i="30"/>
  <c r="AV16" i="57"/>
  <c r="O38" i="49"/>
  <c r="AH12" i="57"/>
  <c r="BB17" i="30"/>
  <c r="AK8" i="30"/>
  <c r="BH8" i="30"/>
  <c r="AH8" i="57"/>
  <c r="BE8" i="57"/>
  <c r="AU11" i="30"/>
  <c r="AR11" i="57"/>
  <c r="AU12" i="30"/>
  <c r="AR12" i="57"/>
  <c r="BD10" i="57"/>
  <c r="BD19" i="57" s="1"/>
  <c r="BG10" i="30"/>
  <c r="BG19" i="30" s="1"/>
  <c r="AY17" i="30"/>
  <c r="AV17" i="57"/>
  <c r="AU16" i="57"/>
  <c r="AU17" i="57"/>
  <c r="AV11" i="30"/>
  <c r="BJ11" i="30" s="1"/>
  <c r="AS11" i="57"/>
  <c r="BG11" i="57" s="1"/>
  <c r="AW10" i="30"/>
  <c r="AT10" i="57"/>
  <c r="AY10" i="57" s="1"/>
  <c r="AW11" i="30"/>
  <c r="AT11" i="57"/>
  <c r="AY11" i="57" s="1"/>
  <c r="AV10" i="30"/>
  <c r="BJ10" i="30" s="1"/>
  <c r="AS10" i="57"/>
  <c r="BG10" i="57" s="1"/>
  <c r="AY9" i="57"/>
  <c r="O42" i="48"/>
  <c r="AJ11" i="57"/>
  <c r="AY8" i="30"/>
  <c r="AV8" i="57"/>
  <c r="AK9" i="30"/>
  <c r="AH9" i="57"/>
  <c r="AV12" i="30"/>
  <c r="BJ12" i="30" s="1"/>
  <c r="AS12" i="57"/>
  <c r="BG12" i="57" s="1"/>
  <c r="AW12" i="30"/>
  <c r="AT12" i="57"/>
  <c r="AV9" i="30"/>
  <c r="BJ9" i="30" s="1"/>
  <c r="AS9" i="57"/>
  <c r="BG9" i="57" s="1"/>
  <c r="O42" i="49"/>
  <c r="AJ12" i="57"/>
  <c r="AY15" i="30"/>
  <c r="AV15" i="57"/>
  <c r="BG8" i="57"/>
  <c r="BD11" i="30"/>
  <c r="BE11" i="30"/>
  <c r="BB15" i="30"/>
  <c r="BB16" i="30"/>
  <c r="D35" i="33"/>
  <c r="AI10" i="30"/>
  <c r="O34" i="47"/>
  <c r="P38" i="25"/>
  <c r="AL8" i="30"/>
  <c r="AN8" i="30" s="1"/>
  <c r="O40" i="55"/>
  <c r="AL17" i="30"/>
  <c r="AN17" i="30" s="1"/>
  <c r="AT17" i="30" s="1"/>
  <c r="AX12" i="30"/>
  <c r="AK11" i="30"/>
  <c r="O38" i="48"/>
  <c r="AI11" i="30"/>
  <c r="O36" i="48"/>
  <c r="J22" i="50"/>
  <c r="M5" i="39"/>
  <c r="C9" i="39" s="1"/>
  <c r="J24" i="50" s="1"/>
  <c r="O40" i="52"/>
  <c r="AL15" i="30"/>
  <c r="AN15" i="30" s="1"/>
  <c r="O40" i="53"/>
  <c r="AL16" i="30"/>
  <c r="AN16" i="30" s="1"/>
  <c r="E19" i="54"/>
  <c r="P45" i="55" s="1"/>
  <c r="E19" i="45"/>
  <c r="P45" i="53" s="1"/>
  <c r="E19" i="43"/>
  <c r="P45" i="52" s="1"/>
  <c r="Z13" i="30"/>
  <c r="Z19" i="30" s="1"/>
  <c r="F25" i="30" s="1"/>
  <c r="AM12" i="30"/>
  <c r="AK12" i="30"/>
  <c r="AM11" i="30"/>
  <c r="E10" i="33"/>
  <c r="O34" i="32"/>
  <c r="AI9" i="30"/>
  <c r="D35" i="31"/>
  <c r="AU9" i="30"/>
  <c r="C19" i="41"/>
  <c r="C19" i="39"/>
  <c r="E8" i="39" s="1"/>
  <c r="AF13" i="57" s="1"/>
  <c r="N6" i="37"/>
  <c r="E11" i="37" s="1"/>
  <c r="D35" i="37"/>
  <c r="D35" i="35"/>
  <c r="N6" i="31"/>
  <c r="E11" i="31" s="1"/>
  <c r="AI9" i="57" s="1"/>
  <c r="AK9" i="57" s="1"/>
  <c r="AQ9" i="57" s="1"/>
  <c r="O36" i="32"/>
  <c r="E19" i="24"/>
  <c r="P42" i="25" s="1"/>
  <c r="B38" i="23"/>
  <c r="B36" i="23"/>
  <c r="B34" i="23"/>
  <c r="B32" i="23"/>
  <c r="B24" i="23"/>
  <c r="B22" i="23"/>
  <c r="B15" i="23"/>
  <c r="D11" i="23"/>
  <c r="F10" i="23"/>
  <c r="D9" i="23"/>
  <c r="C8" i="23"/>
  <c r="N18" i="22"/>
  <c r="M18" i="22"/>
  <c r="L18" i="22"/>
  <c r="K18" i="22"/>
  <c r="J18" i="22"/>
  <c r="N17" i="22"/>
  <c r="M17" i="22"/>
  <c r="L17" i="22"/>
  <c r="K17" i="22"/>
  <c r="J17" i="22"/>
  <c r="N16" i="22"/>
  <c r="M16" i="22"/>
  <c r="L16" i="22"/>
  <c r="K16" i="22"/>
  <c r="J16" i="22"/>
  <c r="N15" i="22"/>
  <c r="M15" i="22"/>
  <c r="L15" i="22"/>
  <c r="K15" i="22"/>
  <c r="J15" i="22"/>
  <c r="N14" i="22"/>
  <c r="M14" i="22"/>
  <c r="L14" i="22"/>
  <c r="K14" i="22"/>
  <c r="J14" i="22"/>
  <c r="N13" i="22"/>
  <c r="M13" i="22"/>
  <c r="L13" i="22"/>
  <c r="K13" i="22"/>
  <c r="J13" i="22"/>
  <c r="N12" i="22"/>
  <c r="M12" i="22"/>
  <c r="L12" i="22"/>
  <c r="K12" i="22"/>
  <c r="J12" i="22"/>
  <c r="N11" i="22"/>
  <c r="M11" i="22"/>
  <c r="L11" i="22"/>
  <c r="K11" i="22"/>
  <c r="J11" i="22"/>
  <c r="J10" i="22"/>
  <c r="B1" i="22" s="1"/>
  <c r="C1" i="22" s="1"/>
  <c r="R3" i="23" s="1"/>
  <c r="G29" i="19"/>
  <c r="J24" i="23"/>
  <c r="J6" i="22"/>
  <c r="L5" i="22"/>
  <c r="L6" i="22" s="1"/>
  <c r="BB12" i="30" l="1"/>
  <c r="AX11" i="30"/>
  <c r="AX10" i="30"/>
  <c r="BF8" i="57"/>
  <c r="BF19" i="57" s="1"/>
  <c r="AY11" i="30"/>
  <c r="AV11" i="57"/>
  <c r="BI10" i="30"/>
  <c r="N6" i="33"/>
  <c r="E11" i="33" s="1"/>
  <c r="AL10" i="30" s="1"/>
  <c r="BE10" i="57"/>
  <c r="BE19" i="57" s="1"/>
  <c r="BH10" i="30"/>
  <c r="BH19" i="30" s="1"/>
  <c r="AU12" i="57"/>
  <c r="AY9" i="30"/>
  <c r="AV9" i="57"/>
  <c r="AY12" i="30"/>
  <c r="AV12" i="57"/>
  <c r="O40" i="49"/>
  <c r="AI12" i="57"/>
  <c r="AK12" i="57" s="1"/>
  <c r="AQ12" i="57" s="1"/>
  <c r="BB10" i="30"/>
  <c r="AU9" i="57"/>
  <c r="AU10" i="57"/>
  <c r="AY12" i="57"/>
  <c r="BF10" i="57"/>
  <c r="BI8" i="30"/>
  <c r="AY10" i="30"/>
  <c r="AV10" i="57"/>
  <c r="AU11" i="57"/>
  <c r="AK8" i="57"/>
  <c r="BB11" i="30"/>
  <c r="BB9" i="30"/>
  <c r="E27" i="24"/>
  <c r="E29" i="24" s="1"/>
  <c r="J44" i="25" s="1"/>
  <c r="AT16" i="30"/>
  <c r="AX9" i="30"/>
  <c r="AT15" i="30"/>
  <c r="AI13" i="30"/>
  <c r="O36" i="50"/>
  <c r="AB13" i="30"/>
  <c r="BE13" i="30" s="1"/>
  <c r="BE19" i="30" s="1"/>
  <c r="E27" i="54"/>
  <c r="J48" i="55" s="1"/>
  <c r="E27" i="45"/>
  <c r="J48" i="53" s="1"/>
  <c r="E27" i="43"/>
  <c r="J48" i="52" s="1"/>
  <c r="G15" i="41"/>
  <c r="E8" i="41"/>
  <c r="AF14" i="57" s="1"/>
  <c r="AL12" i="30"/>
  <c r="AN12" i="30" s="1"/>
  <c r="O38" i="32"/>
  <c r="AL9" i="30"/>
  <c r="AN9" i="30" s="1"/>
  <c r="E6" i="41"/>
  <c r="E9" i="41" s="1"/>
  <c r="AH14" i="57" s="1"/>
  <c r="D34" i="41"/>
  <c r="D33" i="41"/>
  <c r="D32" i="41"/>
  <c r="C27" i="41"/>
  <c r="D34" i="39"/>
  <c r="E12" i="39"/>
  <c r="D33" i="39"/>
  <c r="C27" i="39"/>
  <c r="J47" i="50" s="1"/>
  <c r="D32" i="39"/>
  <c r="E6" i="39"/>
  <c r="E9" i="39" s="1"/>
  <c r="E19" i="37"/>
  <c r="P45" i="49" s="1"/>
  <c r="N6" i="35"/>
  <c r="E11" i="35" s="1"/>
  <c r="E19" i="31"/>
  <c r="E27" i="31" s="1"/>
  <c r="C19" i="22"/>
  <c r="J22" i="23"/>
  <c r="E16" i="19"/>
  <c r="O42" i="50" l="1"/>
  <c r="AJ13" i="57"/>
  <c r="BI19" i="30"/>
  <c r="AW13" i="30"/>
  <c r="AX13" i="30" s="1"/>
  <c r="AT13" i="57"/>
  <c r="O40" i="48"/>
  <c r="AI11" i="57"/>
  <c r="AK11" i="57" s="1"/>
  <c r="AQ11" i="57" s="1"/>
  <c r="AQ8" i="57"/>
  <c r="AV13" i="30"/>
  <c r="BJ13" i="30" s="1"/>
  <c r="AS13" i="57"/>
  <c r="O38" i="47"/>
  <c r="AI10" i="57"/>
  <c r="AV14" i="30"/>
  <c r="BJ14" i="30" s="1"/>
  <c r="AS14" i="57"/>
  <c r="BG14" i="57" s="1"/>
  <c r="E19" i="33"/>
  <c r="P43" i="47" s="1"/>
  <c r="AU14" i="30"/>
  <c r="AX14" i="30" s="1"/>
  <c r="AR14" i="57"/>
  <c r="O38" i="50"/>
  <c r="AH13" i="57"/>
  <c r="AY14" i="57"/>
  <c r="AU13" i="30"/>
  <c r="AR13" i="57"/>
  <c r="AW14" i="30"/>
  <c r="AT14" i="57"/>
  <c r="AB19" i="30"/>
  <c r="F24" i="30" s="1"/>
  <c r="BD13" i="30"/>
  <c r="BD19" i="30" s="1"/>
  <c r="AK14" i="30"/>
  <c r="O38" i="51"/>
  <c r="O42" i="51"/>
  <c r="AM14" i="30"/>
  <c r="O36" i="51"/>
  <c r="AI14" i="30"/>
  <c r="AN10" i="30"/>
  <c r="AT10" i="30" s="1"/>
  <c r="AT12" i="30"/>
  <c r="E29" i="54"/>
  <c r="E29" i="45"/>
  <c r="E29" i="43"/>
  <c r="AK13" i="30"/>
  <c r="AM13" i="30"/>
  <c r="AL11" i="30"/>
  <c r="AN11" i="30" s="1"/>
  <c r="AT11" i="30" s="1"/>
  <c r="N6" i="41"/>
  <c r="E11" i="41" s="1"/>
  <c r="AI14" i="57" s="1"/>
  <c r="AK14" i="57" s="1"/>
  <c r="AQ14" i="57" s="1"/>
  <c r="D35" i="41"/>
  <c r="N6" i="39"/>
  <c r="E11" i="39" s="1"/>
  <c r="D35" i="39"/>
  <c r="E27" i="37"/>
  <c r="J48" i="49" s="1"/>
  <c r="E19" i="35"/>
  <c r="P45" i="48" s="1"/>
  <c r="P43" i="32"/>
  <c r="J46" i="32"/>
  <c r="E29" i="31"/>
  <c r="E12" i="22"/>
  <c r="AJ18" i="57" s="1"/>
  <c r="E8" i="22"/>
  <c r="C27" i="22"/>
  <c r="E6" i="22"/>
  <c r="E9" i="22" s="1"/>
  <c r="AH18" i="57" s="1"/>
  <c r="D34" i="22"/>
  <c r="D33" i="22"/>
  <c r="AS18" i="57" s="1"/>
  <c r="BG18" i="57" s="1"/>
  <c r="D32" i="22"/>
  <c r="E27" i="33" l="1"/>
  <c r="E29" i="33" s="1"/>
  <c r="J46" i="47" s="1"/>
  <c r="AK10" i="57"/>
  <c r="AY13" i="57"/>
  <c r="BB13" i="30"/>
  <c r="AH19" i="57"/>
  <c r="AY14" i="30"/>
  <c r="AV14" i="57"/>
  <c r="AU13" i="57"/>
  <c r="BG13" i="57"/>
  <c r="BG19" i="57" s="1"/>
  <c r="AS19" i="57"/>
  <c r="AU14" i="57"/>
  <c r="AJ19" i="57"/>
  <c r="AY13" i="30"/>
  <c r="AV13" i="57"/>
  <c r="AU18" i="30"/>
  <c r="AU19" i="30" s="1"/>
  <c r="AR18" i="57"/>
  <c r="AR19" i="57" s="1"/>
  <c r="AI18" i="30"/>
  <c r="BF18" i="30" s="1"/>
  <c r="BF19" i="30" s="1"/>
  <c r="AF18" i="57"/>
  <c r="O40" i="50"/>
  <c r="AI13" i="57"/>
  <c r="AK13" i="57" s="1"/>
  <c r="AQ13" i="57" s="1"/>
  <c r="AW18" i="30"/>
  <c r="AT18" i="57"/>
  <c r="BB14" i="30"/>
  <c r="O40" i="51"/>
  <c r="AL14" i="30"/>
  <c r="AN14" i="30" s="1"/>
  <c r="AT14" i="30" s="1"/>
  <c r="D17" i="19"/>
  <c r="AV18" i="30"/>
  <c r="E19" i="39"/>
  <c r="E17" i="19"/>
  <c r="AK18" i="30"/>
  <c r="AK19" i="30" s="1"/>
  <c r="O38" i="23"/>
  <c r="AM18" i="30"/>
  <c r="AM19" i="30" s="1"/>
  <c r="AT9" i="30"/>
  <c r="AL13" i="30"/>
  <c r="AN13" i="30" s="1"/>
  <c r="AT13" i="30" s="1"/>
  <c r="E19" i="41"/>
  <c r="P45" i="51" s="1"/>
  <c r="E29" i="37"/>
  <c r="E27" i="35"/>
  <c r="F17" i="19"/>
  <c r="C29" i="19"/>
  <c r="C17" i="19"/>
  <c r="N6" i="22"/>
  <c r="O32" i="23"/>
  <c r="J41" i="23"/>
  <c r="D35" i="22"/>
  <c r="BC18" i="57" l="1"/>
  <c r="BC19" i="57" s="1"/>
  <c r="AF19" i="57"/>
  <c r="AI19" i="30"/>
  <c r="AQ10" i="57"/>
  <c r="AV19" i="30"/>
  <c r="BJ18" i="30"/>
  <c r="BJ19" i="30" s="1"/>
  <c r="AW19" i="30"/>
  <c r="BB18" i="30"/>
  <c r="BB19" i="30" s="1"/>
  <c r="AY18" i="30"/>
  <c r="AY19" i="30" s="1"/>
  <c r="AV18" i="57"/>
  <c r="AV19" i="57" s="1"/>
  <c r="AU18" i="57"/>
  <c r="AU19" i="57" s="1"/>
  <c r="F23" i="57" s="1"/>
  <c r="F30" i="57" s="1"/>
  <c r="AY18" i="57"/>
  <c r="AY19" i="57" s="1"/>
  <c r="BH19" i="57" s="1"/>
  <c r="AT19" i="57"/>
  <c r="AX18" i="30"/>
  <c r="AX19" i="30" s="1"/>
  <c r="F23" i="30" s="1"/>
  <c r="E27" i="39"/>
  <c r="J50" i="50" s="1"/>
  <c r="P47" i="50"/>
  <c r="E29" i="35"/>
  <c r="J48" i="48" s="1"/>
  <c r="E27" i="41"/>
  <c r="E11" i="22"/>
  <c r="O34" i="23"/>
  <c r="D16" i="19"/>
  <c r="K27" i="30" l="1"/>
  <c r="H27" i="57"/>
  <c r="AL18" i="30"/>
  <c r="AN18" i="30" s="1"/>
  <c r="AT18" i="30" s="1"/>
  <c r="AI18" i="57"/>
  <c r="BK19" i="30"/>
  <c r="E29" i="39"/>
  <c r="E29" i="41"/>
  <c r="J48" i="51" s="1"/>
  <c r="F16" i="19"/>
  <c r="C16" i="19"/>
  <c r="E19" i="22"/>
  <c r="P41" i="23" s="1"/>
  <c r="G17" i="19"/>
  <c r="O36" i="23"/>
  <c r="AL19" i="30" l="1"/>
  <c r="K28" i="30" s="1"/>
  <c r="AI19" i="57"/>
  <c r="H28" i="57" s="1"/>
  <c r="AK18" i="57"/>
  <c r="G27" i="19"/>
  <c r="G28" i="19"/>
  <c r="E27" i="22"/>
  <c r="J44" i="23" s="1"/>
  <c r="G16" i="19"/>
  <c r="AQ18" i="57" l="1"/>
  <c r="AQ19" i="57" s="1"/>
  <c r="H26" i="57" s="1"/>
  <c r="H30" i="57" s="1"/>
  <c r="F33" i="57" s="1"/>
  <c r="AK19" i="57"/>
  <c r="G26" i="19"/>
  <c r="E29" i="22"/>
  <c r="E14" i="19" l="1"/>
  <c r="C28" i="19"/>
  <c r="F14" i="19"/>
  <c r="C27" i="19"/>
  <c r="D6" i="19"/>
  <c r="G6" i="19"/>
  <c r="G5" i="19"/>
  <c r="D5" i="19"/>
  <c r="D14" i="19"/>
  <c r="C14" i="19"/>
  <c r="H14" i="19" s="1"/>
  <c r="F5" i="19"/>
  <c r="C6" i="19"/>
  <c r="C5" i="19"/>
  <c r="M6" i="9"/>
  <c r="C9" i="9" s="1"/>
  <c r="C26" i="19" l="1"/>
  <c r="F6" i="19"/>
  <c r="E6" i="19"/>
  <c r="G15" i="19"/>
  <c r="C19" i="9"/>
  <c r="K6" i="9"/>
  <c r="J6" i="9"/>
  <c r="L5" i="9"/>
  <c r="L6" i="9" s="1"/>
  <c r="C13" i="19" l="1"/>
  <c r="C18" i="19" s="1"/>
  <c r="G13" i="19"/>
  <c r="F4" i="19"/>
  <c r="F7" i="19" s="1"/>
  <c r="D4" i="19"/>
  <c r="D7" i="19" s="1"/>
  <c r="D13" i="19"/>
  <c r="D18" i="19" s="1"/>
  <c r="E5" i="19"/>
  <c r="G14" i="19"/>
  <c r="G4" i="19"/>
  <c r="G7" i="19" s="1"/>
  <c r="F13" i="19"/>
  <c r="F18" i="19" s="1"/>
  <c r="C4" i="19"/>
  <c r="E8" i="9"/>
  <c r="D34" i="9"/>
  <c r="D33" i="9"/>
  <c r="D32" i="9"/>
  <c r="E12" i="9"/>
  <c r="C27" i="9"/>
  <c r="E9" i="9"/>
  <c r="E13" i="19" l="1"/>
  <c r="E18" i="19" s="1"/>
  <c r="C20" i="19" s="1"/>
  <c r="G18" i="19"/>
  <c r="C21" i="19" s="1"/>
  <c r="E4" i="19"/>
  <c r="E7" i="19" s="1"/>
  <c r="C9" i="19"/>
  <c r="C7" i="19"/>
  <c r="D35" i="9"/>
  <c r="N6" i="9"/>
  <c r="E11" i="9" s="1"/>
  <c r="E19" i="9" s="1"/>
  <c r="E27" i="9" s="1"/>
  <c r="E29" i="9" l="1"/>
  <c r="AT8" i="30" l="1"/>
  <c r="AT19" i="30" s="1"/>
  <c r="K26" i="30" s="1"/>
  <c r="AN19" i="30"/>
  <c r="F30" i="30" s="1"/>
  <c r="K30" i="30" l="1"/>
  <c r="F33" i="30" s="1"/>
</calcChain>
</file>

<file path=xl/sharedStrings.xml><?xml version="1.0" encoding="utf-8"?>
<sst xmlns="http://schemas.openxmlformats.org/spreadsheetml/2006/main" count="1280" uniqueCount="225">
  <si>
    <t>JULIO</t>
  </si>
  <si>
    <t>Días trabajados</t>
  </si>
  <si>
    <t>U.F. Mes</t>
  </si>
  <si>
    <t>Tope Imp.</t>
  </si>
  <si>
    <t>Tope Seg.</t>
  </si>
  <si>
    <t>Tope Salud</t>
  </si>
  <si>
    <t>Tope Grat.</t>
  </si>
  <si>
    <t>Base Impto.</t>
  </si>
  <si>
    <t>Pact Isapre</t>
  </si>
  <si>
    <t>Tipo Contrato</t>
  </si>
  <si>
    <t>INDEFINIDO</t>
  </si>
  <si>
    <t>AFP</t>
  </si>
  <si>
    <t>HABITAT</t>
  </si>
  <si>
    <t>Sueldo base</t>
  </si>
  <si>
    <t>Gratificación</t>
  </si>
  <si>
    <t>Salud</t>
  </si>
  <si>
    <t>adicional isapre</t>
  </si>
  <si>
    <t>JUNIO</t>
  </si>
  <si>
    <t>Tabla UTM</t>
  </si>
  <si>
    <t>Impuesto Unico</t>
  </si>
  <si>
    <t>MENSUAL</t>
  </si>
  <si>
    <t>-.-</t>
  </si>
  <si>
    <t>Exento</t>
  </si>
  <si>
    <t xml:space="preserve">Bono </t>
  </si>
  <si>
    <t>Seg. Cesantia</t>
  </si>
  <si>
    <t>Descuento horas</t>
  </si>
  <si>
    <t>Anticipo</t>
  </si>
  <si>
    <t>CCAF</t>
  </si>
  <si>
    <t>APV</t>
  </si>
  <si>
    <t>Y MÁS</t>
  </si>
  <si>
    <t>MÁS DE 15,57%</t>
  </si>
  <si>
    <t>Y MAS</t>
  </si>
  <si>
    <t>MAS DE 19,55%</t>
  </si>
  <si>
    <t>Total Imponible</t>
  </si>
  <si>
    <t>Total Descuentos</t>
  </si>
  <si>
    <t>capital</t>
  </si>
  <si>
    <t>cuprum</t>
  </si>
  <si>
    <t>Seg. Cesantia Trab.</t>
  </si>
  <si>
    <t>habitat</t>
  </si>
  <si>
    <t>colación</t>
  </si>
  <si>
    <t>planvital</t>
  </si>
  <si>
    <t>movilización</t>
  </si>
  <si>
    <t>provida</t>
  </si>
  <si>
    <t>asig. Familiar</t>
  </si>
  <si>
    <t>modelo</t>
  </si>
  <si>
    <t>total no imponible</t>
  </si>
  <si>
    <t>Total a Pagar</t>
  </si>
  <si>
    <r>
      <t xml:space="preserve">2,1 % </t>
    </r>
    <r>
      <rPr>
        <sz val="11"/>
        <color theme="1"/>
        <rFont val="Calibri"/>
        <family val="2"/>
        <scheme val="minor"/>
      </rPr>
      <t xml:space="preserve">Reajuste Noviembre 2015 a Junio 2016 </t>
    </r>
  </si>
  <si>
    <t>Valor Reajustado</t>
  </si>
  <si>
    <t>Seg. Cesantia Emp.</t>
  </si>
  <si>
    <t>Mutual</t>
  </si>
  <si>
    <t>SIS</t>
  </si>
  <si>
    <t>Costo Empleador</t>
  </si>
  <si>
    <t>M</t>
  </si>
  <si>
    <t>Fecha</t>
  </si>
  <si>
    <t>Total pagos</t>
  </si>
  <si>
    <t>Impto Unico</t>
  </si>
  <si>
    <t>AFC</t>
  </si>
  <si>
    <t>Agosto</t>
  </si>
  <si>
    <t>Alex Cornejo</t>
  </si>
  <si>
    <t>Gonzalo Araya</t>
  </si>
  <si>
    <t>Felipe Mancilla</t>
  </si>
  <si>
    <t>Previred</t>
  </si>
  <si>
    <t>Resumen</t>
  </si>
  <si>
    <t>Trabajador</t>
  </si>
  <si>
    <t>Total</t>
  </si>
  <si>
    <t>Carolina Alarcon</t>
  </si>
  <si>
    <t>Francisco</t>
  </si>
  <si>
    <t>Hernan Paredes</t>
  </si>
  <si>
    <t>Amanda Garcia</t>
  </si>
  <si>
    <t>Mario Ernst</t>
  </si>
  <si>
    <t>Totales</t>
  </si>
  <si>
    <t>SII</t>
  </si>
  <si>
    <t>LEYES SOCIALES</t>
  </si>
  <si>
    <t>REMUNERACIONES</t>
  </si>
  <si>
    <t>GONZALO</t>
  </si>
  <si>
    <t>HERNAN</t>
  </si>
  <si>
    <t>MARIO</t>
  </si>
  <si>
    <t>Mes</t>
  </si>
  <si>
    <t>UF</t>
  </si>
  <si>
    <t>MÁS DE 19,45%</t>
  </si>
  <si>
    <t>Monto de Cálculo del Impuesto Único de Segunda Categoría</t>
  </si>
  <si>
    <t>Períodos</t>
  </si>
  <si>
    <t>Monto de la renta líquida imponible</t>
  </si>
  <si>
    <t>Factor</t>
  </si>
  <si>
    <t>Cantidad a rebajar</t>
  </si>
  <si>
    <t>Tasa de Impuesto Efectiva, máxima por cada tramo de Renta</t>
  </si>
  <si>
    <t>Desde</t>
  </si>
  <si>
    <t>Hasta</t>
  </si>
  <si>
    <t>MÁS DE 27,48%</t>
  </si>
  <si>
    <t>QUINCENAL</t>
  </si>
  <si>
    <t>SEMANAL</t>
  </si>
  <si>
    <t>DIARIO</t>
  </si>
  <si>
    <t>SUELDO BASE</t>
  </si>
  <si>
    <t>FIJO</t>
  </si>
  <si>
    <t>Caja de Empleados</t>
  </si>
  <si>
    <t>FONASA</t>
  </si>
  <si>
    <t>Comisión Venta</t>
  </si>
  <si>
    <t>Seg. Cesantia (0,6 %)</t>
  </si>
  <si>
    <t>Colación</t>
  </si>
  <si>
    <t>Movilización</t>
  </si>
  <si>
    <t>UNO</t>
  </si>
  <si>
    <t>NOMBRE</t>
  </si>
  <si>
    <t>Verónica López Herrera</t>
  </si>
  <si>
    <t>RUT</t>
  </si>
  <si>
    <t>8.907.281-6</t>
  </si>
  <si>
    <t>CARGO</t>
  </si>
  <si>
    <t>Aseo y Adm. Bodega</t>
  </si>
  <si>
    <t>Fecha Ingreso</t>
  </si>
  <si>
    <t>01 de junio de 2022</t>
  </si>
  <si>
    <t>DATOS DEL TRABAJADOR</t>
  </si>
  <si>
    <t>DATOS DE LA EMPRESA</t>
  </si>
  <si>
    <t>Importaciones Checas Ltda.</t>
  </si>
  <si>
    <t>76.156.780-2</t>
  </si>
  <si>
    <t>Avda. Las Condes , N°6995, Las Condes.</t>
  </si>
  <si>
    <t>administracion@importaciones.cl</t>
  </si>
  <si>
    <t xml:space="preserve"> </t>
  </si>
  <si>
    <t>HABERES AFECTOS:</t>
  </si>
  <si>
    <t>DESCUENTO LEGALES:</t>
  </si>
  <si>
    <t>ISAPRE Nueva Masvida</t>
  </si>
  <si>
    <t>Habitat</t>
  </si>
  <si>
    <t>AFP Habitat</t>
  </si>
  <si>
    <t>Consalud</t>
  </si>
  <si>
    <t>ACHS</t>
  </si>
  <si>
    <t>Filip Carrasco</t>
  </si>
  <si>
    <t>17534302-4</t>
  </si>
  <si>
    <t>Directivo</t>
  </si>
  <si>
    <t>Bono Produccion</t>
  </si>
  <si>
    <t>Rolando Carrasco</t>
  </si>
  <si>
    <t>17534301-6</t>
  </si>
  <si>
    <t>Administrativo</t>
  </si>
  <si>
    <t>ISAPRE Vida Tres</t>
  </si>
  <si>
    <t>Bono Prodruccion</t>
  </si>
  <si>
    <t>Helena Carrascova</t>
  </si>
  <si>
    <t>14468851-1</t>
  </si>
  <si>
    <t>Gerencia</t>
  </si>
  <si>
    <t>PlanVital</t>
  </si>
  <si>
    <t>Bono Responsabilidad</t>
  </si>
  <si>
    <t>Comision Ventas</t>
  </si>
  <si>
    <t>Angelis Fernandez</t>
  </si>
  <si>
    <t>25921895-0</t>
  </si>
  <si>
    <t>Ventas</t>
  </si>
  <si>
    <t>S.Base</t>
  </si>
  <si>
    <t>Horas</t>
  </si>
  <si>
    <t>Minutos</t>
  </si>
  <si>
    <t>Valor Min</t>
  </si>
  <si>
    <t>Salidas</t>
  </si>
  <si>
    <t xml:space="preserve">Bono Produccion </t>
  </si>
  <si>
    <t>Carlos Figueroa</t>
  </si>
  <si>
    <t>25671433-7</t>
  </si>
  <si>
    <t>Producción</t>
  </si>
  <si>
    <t>Descuento Prestamo Empresa</t>
  </si>
  <si>
    <t>Favio Remache</t>
  </si>
  <si>
    <t>26184548-2</t>
  </si>
  <si>
    <t>Provida</t>
  </si>
  <si>
    <t>Ingrid Soto</t>
  </si>
  <si>
    <t>14297190-9</t>
  </si>
  <si>
    <t>Santana JR Francois</t>
  </si>
  <si>
    <t>25260221-6</t>
  </si>
  <si>
    <t>Aseo</t>
  </si>
  <si>
    <t>-</t>
  </si>
  <si>
    <t>Freddy Perez</t>
  </si>
  <si>
    <t>16925872-4</t>
  </si>
  <si>
    <t>Ayudante Maestro</t>
  </si>
  <si>
    <t>Avda. Las Condes , N°6995, Las Condes</t>
  </si>
  <si>
    <t>Osiris Junadette</t>
  </si>
  <si>
    <t>26751252-3</t>
  </si>
  <si>
    <t>aseo</t>
  </si>
  <si>
    <t>Vasco de Gama 4702, Las Condes</t>
  </si>
  <si>
    <t>INFORMACIÓN MENSUAL REMUNERACIONES IMPORTACIONES CHECAS LTDA 2022</t>
  </si>
  <si>
    <t xml:space="preserve">Imponible </t>
  </si>
  <si>
    <t>No Imponible</t>
  </si>
  <si>
    <t xml:space="preserve">Descuentos </t>
  </si>
  <si>
    <t>Empresa</t>
  </si>
  <si>
    <t>Rut</t>
  </si>
  <si>
    <t>Cargo</t>
  </si>
  <si>
    <t>Prestamo</t>
  </si>
  <si>
    <t>Días Trabajados</t>
  </si>
  <si>
    <t>Días Vacaciones</t>
  </si>
  <si>
    <t>Días Licencia</t>
  </si>
  <si>
    <t>Días Ausencia</t>
  </si>
  <si>
    <t>Horas Permisos sin goce de sueldo</t>
  </si>
  <si>
    <t>Horas Atrasos Y Salidas Temprano</t>
  </si>
  <si>
    <t>Total Descuento Horas</t>
  </si>
  <si>
    <t>Horas Extras</t>
  </si>
  <si>
    <t>Sueldo Base</t>
  </si>
  <si>
    <t>Comisión Ventas</t>
  </si>
  <si>
    <t>Bono Producción</t>
  </si>
  <si>
    <t>Bono Extra</t>
  </si>
  <si>
    <t>Gratificacion</t>
  </si>
  <si>
    <t>DescuentoAtrasos y Salidas</t>
  </si>
  <si>
    <t>Cantidad Cargas Familiares</t>
  </si>
  <si>
    <t>Asignacion</t>
  </si>
  <si>
    <t>Descuento AFP</t>
  </si>
  <si>
    <t>Descuento Salud</t>
  </si>
  <si>
    <t>Impto. Único</t>
  </si>
  <si>
    <t>Seguro Cesantia</t>
  </si>
  <si>
    <t>N°Cuota</t>
  </si>
  <si>
    <t>Anticipo de Sueldo</t>
  </si>
  <si>
    <t>Prestamo Caja Los Heroes</t>
  </si>
  <si>
    <t>Total a Pagar Trabajador</t>
  </si>
  <si>
    <t>Costo Empleaor</t>
  </si>
  <si>
    <t>NO</t>
  </si>
  <si>
    <t>N/A</t>
  </si>
  <si>
    <t>full</t>
  </si>
  <si>
    <t>SI</t>
  </si>
  <si>
    <t>9 de 15</t>
  </si>
  <si>
    <t>Osiris</t>
  </si>
  <si>
    <t>Veronica Lopez</t>
  </si>
  <si>
    <t>Asiento</t>
  </si>
  <si>
    <t>Debe</t>
  </si>
  <si>
    <t>Haber</t>
  </si>
  <si>
    <t>Leyes Sociales</t>
  </si>
  <si>
    <t>Remuneraciones</t>
  </si>
  <si>
    <t>Rem x Pagar</t>
  </si>
  <si>
    <t>Imp, x Pagar</t>
  </si>
  <si>
    <t>Caja</t>
  </si>
  <si>
    <t>Los Heroes</t>
  </si>
  <si>
    <t>IPS</t>
  </si>
  <si>
    <t>ISAPRE</t>
  </si>
  <si>
    <t>Adicional</t>
  </si>
  <si>
    <t>Total ISAPRE</t>
  </si>
  <si>
    <t>Maestro y Jefe Carpintería</t>
  </si>
  <si>
    <t>Indefinido</t>
  </si>
  <si>
    <t>Fonasa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</si>
</sst>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$&quot;#,##0.00;[Red]&quot;$&quot;\-#,##0.00"/>
    <numFmt numFmtId="42" formatCode="_ &quot;$&quot;* #,##0_ ;_ &quot;$&quot;* \-#,##0_ ;_ &quot;$&quot;* &quot;-&quot;_ ;_ @_ "/>
    <numFmt numFmtId="43" formatCode="_ * #,##0.00_ ;_ * \-#,##0.00_ ;_ * &quot;-&quot;??_ ;_ @_ "/>
    <numFmt numFmtId="164" formatCode="_-* #,##0.00\ _€_-;\-* #,##0.00\ _€_-;_-* &quot;-&quot;??\ _€_-;_-@_-"/>
    <numFmt numFmtId="165" formatCode="_(* #,##0_);_(* \(#,##0\);_(* &quot;-&quot;_);_(@_)"/>
    <numFmt numFmtId="166" formatCode="_(* #,##0.00_);_(* \(#,##0.00\);_(* &quot;-&quot;??_);_(@_)"/>
    <numFmt numFmtId="167" formatCode="&quot;$&quot;\ #,##0.00;[Red]\-&quot;$&quot;\ #,##0.00"/>
    <numFmt numFmtId="168" formatCode="_-* #,##0\ _€_-;\-* #,##0\ _€_-;_-* &quot;-&quot;??\ _€_-;_-@_-"/>
    <numFmt numFmtId="169" formatCode="_-* #,##0.000\ \U\F_-;\-* #,##0.000\ \U\F_-;_-* &quot;-&quot;??\ \U\F_-;_-@_-"/>
    <numFmt numFmtId="170" formatCode="_-* #,##0.000\ _€_-;\-* #,##0.000\ _€_-;_-* &quot;-&quot;??\ _€_-;_-@_-"/>
    <numFmt numFmtId="171" formatCode="0.0%"/>
    <numFmt numFmtId="172" formatCode="#,##0.000"/>
    <numFmt numFmtId="173" formatCode="_-* #,##0.0000_-;\-* #,##0.0000_-;_-* &quot;-&quot;????_-;_-@_-"/>
    <numFmt numFmtId="174" formatCode="_ * #,##0.000_ ;_ * \-#,##0.000_ ;_ * &quot;-&quot;???_ ;_ @_ "/>
    <numFmt numFmtId="175" formatCode="_-* #,##0_-;\-* #,##0_-;_-* &quot;-&quot;??_-;_-@_-"/>
    <numFmt numFmtId="176" formatCode="_-* #,##0.000_-;\-* #,##0.000_-;_-* &quot;-&quot;???_-;_-@_-"/>
    <numFmt numFmtId="177" formatCode="_(* #,##0.00_);_(* \(#,##0.00\);_(* &quot;-&quot;_);_(@_)"/>
    <numFmt numFmtId="178" formatCode="[$-F400]h:mm:ss\ AM/PM"/>
    <numFmt numFmtId="179" formatCode="_ * #,##0.00_ ;_ * \-#,##0.00_ ;_ * &quot;-&quot;???_ ;_ @_ "/>
    <numFmt numFmtId="180" formatCode="_-* #,##0.0_-;\-* #,##0.0_-;_-* &quot;-&quot;???_-;_-@_-"/>
    <numFmt numFmtId="181" formatCode="_-* #,##0.0\ _€_-;\-* #,##0.0\ _€_-;_-* &quot;-&quot;??\ _€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Verdana"/>
      <family val="2"/>
    </font>
    <font>
      <b/>
      <sz val="8"/>
      <name val="Calibri"/>
      <family val="2"/>
    </font>
    <font>
      <b/>
      <sz val="6"/>
      <name val="Calibri"/>
      <family val="2"/>
    </font>
    <font>
      <b/>
      <sz val="11"/>
      <color rgb="FFFF0000"/>
      <name val="Calibri"/>
      <family val="2"/>
      <scheme val="minor"/>
    </font>
    <font>
      <sz val="8"/>
      <color rgb="FF333333"/>
      <name val="Verdan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706F6F"/>
      <name val="Arial"/>
      <family val="2"/>
    </font>
    <font>
      <b/>
      <sz val="8"/>
      <color rgb="FF555555"/>
      <name val="Arial"/>
      <family val="2"/>
    </font>
    <font>
      <b/>
      <sz val="12"/>
      <color theme="4" tint="-0.249977111117893"/>
      <name val="Raleway"/>
    </font>
    <font>
      <b/>
      <sz val="11"/>
      <color theme="4" tint="-0.249977111117893"/>
      <name val="Raleway"/>
    </font>
    <font>
      <sz val="10"/>
      <color theme="4" tint="-0.249977111117893"/>
      <name val="Raleway"/>
    </font>
    <font>
      <sz val="11"/>
      <color theme="3"/>
      <name val="Calibri"/>
      <family val="2"/>
      <scheme val="minor"/>
    </font>
    <font>
      <b/>
      <sz val="12"/>
      <color theme="3"/>
      <name val="Raleway"/>
    </font>
    <font>
      <sz val="11"/>
      <color theme="3"/>
      <name val="Raleway"/>
    </font>
    <font>
      <b/>
      <sz val="11"/>
      <color theme="3"/>
      <name val="Raleway"/>
    </font>
    <font>
      <b/>
      <sz val="9"/>
      <color theme="3"/>
      <name val="Calibri"/>
      <family val="2"/>
      <scheme val="minor"/>
    </font>
    <font>
      <b/>
      <sz val="7"/>
      <color rgb="FF000000"/>
      <name val="Arial"/>
      <family val="2"/>
    </font>
    <font>
      <b/>
      <sz val="8"/>
      <color rgb="FF000000"/>
      <name val="Inherit"/>
    </font>
    <font>
      <sz val="7"/>
      <color rgb="FF706F6F"/>
      <name val="Arial"/>
      <family val="2"/>
    </font>
    <font>
      <b/>
      <sz val="7"/>
      <color rgb="FF555555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808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DCDC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/>
      <top style="medium">
        <color rgb="FFDDDDDD"/>
      </top>
      <bottom style="medium">
        <color rgb="FFCCCCCC"/>
      </bottom>
      <diagonal/>
    </border>
    <border>
      <left/>
      <right/>
      <top style="medium">
        <color rgb="FFDDDDDD"/>
      </top>
      <bottom style="medium">
        <color rgb="FFCCCCCC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88">
    <xf numFmtId="0" fontId="0" fillId="0" borderId="0" xfId="0"/>
    <xf numFmtId="0" fontId="2" fillId="0" borderId="0" xfId="0" applyFont="1"/>
    <xf numFmtId="17" fontId="1" fillId="0" borderId="0" xfId="1" applyNumberFormat="1" applyFont="1"/>
    <xf numFmtId="168" fontId="1" fillId="0" borderId="0" xfId="1" applyNumberFormat="1" applyFont="1"/>
    <xf numFmtId="0" fontId="0" fillId="0" borderId="1" xfId="0" applyBorder="1"/>
    <xf numFmtId="168" fontId="1" fillId="2" borderId="1" xfId="1" applyNumberFormat="1" applyFont="1" applyFill="1" applyBorder="1"/>
    <xf numFmtId="1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9" fontId="1" fillId="0" borderId="1" xfId="1" applyNumberFormat="1" applyFont="1" applyBorder="1"/>
    <xf numFmtId="168" fontId="2" fillId="0" borderId="1" xfId="1" applyNumberFormat="1" applyFont="1" applyBorder="1"/>
    <xf numFmtId="170" fontId="1" fillId="0" borderId="1" xfId="1" applyNumberFormat="1" applyFont="1" applyFill="1" applyBorder="1"/>
    <xf numFmtId="168" fontId="0" fillId="0" borderId="1" xfId="1" applyNumberFormat="1" applyFont="1" applyBorder="1"/>
    <xf numFmtId="4" fontId="3" fillId="3" borderId="1" xfId="0" applyNumberFormat="1" applyFont="1" applyFill="1" applyBorder="1"/>
    <xf numFmtId="168" fontId="1" fillId="0" borderId="1" xfId="1" applyNumberFormat="1" applyFont="1" applyFill="1" applyBorder="1"/>
    <xf numFmtId="3" fontId="0" fillId="0" borderId="1" xfId="0" applyNumberFormat="1" applyBorder="1"/>
    <xf numFmtId="168" fontId="1" fillId="0" borderId="1" xfId="1" applyNumberFormat="1" applyFont="1" applyBorder="1"/>
    <xf numFmtId="168" fontId="1" fillId="0" borderId="0" xfId="1" applyNumberFormat="1" applyFont="1" applyBorder="1"/>
    <xf numFmtId="171" fontId="0" fillId="0" borderId="0" xfId="0" applyNumberFormat="1"/>
    <xf numFmtId="4" fontId="3" fillId="0" borderId="0" xfId="0" applyNumberFormat="1" applyFont="1"/>
    <xf numFmtId="168" fontId="1" fillId="0" borderId="0" xfId="1" applyNumberFormat="1" applyFont="1" applyFill="1" applyBorder="1"/>
    <xf numFmtId="3" fontId="0" fillId="0" borderId="0" xfId="0" applyNumberFormat="1"/>
    <xf numFmtId="0" fontId="0" fillId="0" borderId="2" xfId="0" applyBorder="1"/>
    <xf numFmtId="168" fontId="1" fillId="0" borderId="3" xfId="1" applyNumberFormat="1" applyFont="1" applyBorder="1"/>
    <xf numFmtId="0" fontId="0" fillId="0" borderId="4" xfId="0" applyBorder="1"/>
    <xf numFmtId="168" fontId="1" fillId="0" borderId="5" xfId="1" applyNumberFormat="1" applyFont="1" applyBorder="1"/>
    <xf numFmtId="168" fontId="1" fillId="4" borderId="5" xfId="1" applyNumberFormat="1" applyFont="1" applyFill="1" applyBorder="1"/>
    <xf numFmtId="3" fontId="4" fillId="2" borderId="1" xfId="0" applyNumberFormat="1" applyFont="1" applyFill="1" applyBorder="1"/>
    <xf numFmtId="4" fontId="4" fillId="2" borderId="1" xfId="0" applyNumberFormat="1" applyFont="1" applyFill="1" applyBorder="1"/>
    <xf numFmtId="4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68" fontId="1" fillId="0" borderId="5" xfId="1" applyNumberFormat="1" applyFont="1" applyFill="1" applyBorder="1"/>
    <xf numFmtId="171" fontId="4" fillId="2" borderId="1" xfId="2" applyNumberFormat="1" applyFont="1" applyFill="1" applyBorder="1"/>
    <xf numFmtId="172" fontId="4" fillId="2" borderId="1" xfId="0" applyNumberFormat="1" applyFont="1" applyFill="1" applyBorder="1" applyAlignment="1">
      <alignment horizontal="center"/>
    </xf>
    <xf numFmtId="3" fontId="5" fillId="2" borderId="1" xfId="0" applyNumberFormat="1" applyFont="1" applyFill="1" applyBorder="1"/>
    <xf numFmtId="0" fontId="0" fillId="0" borderId="6" xfId="0" applyBorder="1"/>
    <xf numFmtId="168" fontId="2" fillId="0" borderId="7" xfId="1" applyNumberFormat="1" applyFont="1" applyBorder="1"/>
    <xf numFmtId="168" fontId="6" fillId="0" borderId="7" xfId="1" applyNumberFormat="1" applyFont="1" applyBorder="1"/>
    <xf numFmtId="168" fontId="2" fillId="0" borderId="5" xfId="1" applyNumberFormat="1" applyFont="1" applyBorder="1"/>
    <xf numFmtId="10" fontId="0" fillId="0" borderId="1" xfId="0" applyNumberFormat="1" applyBorder="1"/>
    <xf numFmtId="9" fontId="0" fillId="0" borderId="1" xfId="0" applyNumberFormat="1" applyBorder="1"/>
    <xf numFmtId="167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171" fontId="1" fillId="0" borderId="1" xfId="2" applyNumberFormat="1" applyFont="1" applyBorder="1"/>
    <xf numFmtId="0" fontId="3" fillId="0" borderId="0" xfId="0" applyFont="1" applyAlignment="1">
      <alignment horizontal="left" vertical="center" wrapText="1"/>
    </xf>
    <xf numFmtId="0" fontId="0" fillId="0" borderId="8" xfId="0" applyBorder="1"/>
    <xf numFmtId="168" fontId="2" fillId="0" borderId="9" xfId="1" applyNumberFormat="1" applyFont="1" applyBorder="1"/>
    <xf numFmtId="0" fontId="0" fillId="0" borderId="10" xfId="0" applyBorder="1"/>
    <xf numFmtId="168" fontId="2" fillId="0" borderId="11" xfId="1" applyNumberFormat="1" applyFont="1" applyBorder="1"/>
    <xf numFmtId="0" fontId="7" fillId="0" borderId="0" xfId="0" applyFont="1" applyAlignment="1">
      <alignment horizontal="right" vertical="center" wrapText="1"/>
    </xf>
    <xf numFmtId="168" fontId="2" fillId="0" borderId="3" xfId="1" applyNumberFormat="1" applyFont="1" applyBorder="1"/>
    <xf numFmtId="0" fontId="0" fillId="0" borderId="0" xfId="0" applyAlignment="1">
      <alignment horizontal="center"/>
    </xf>
    <xf numFmtId="0" fontId="2" fillId="4" borderId="10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168" fontId="2" fillId="4" borderId="11" xfId="1" applyNumberFormat="1" applyFont="1" applyFill="1" applyBorder="1"/>
    <xf numFmtId="168" fontId="0" fillId="0" borderId="0" xfId="0" applyNumberFormat="1"/>
    <xf numFmtId="164" fontId="1" fillId="0" borderId="0" xfId="1" applyNumberFormat="1" applyFont="1"/>
    <xf numFmtId="168" fontId="1" fillId="3" borderId="1" xfId="1" applyNumberFormat="1" applyFont="1" applyFill="1" applyBorder="1"/>
    <xf numFmtId="3" fontId="2" fillId="0" borderId="1" xfId="0" applyNumberFormat="1" applyFont="1" applyBorder="1"/>
    <xf numFmtId="164" fontId="1" fillId="0" borderId="0" xfId="1" applyNumberFormat="1" applyFont="1" applyBorder="1"/>
    <xf numFmtId="0" fontId="8" fillId="0" borderId="0" xfId="0" applyFont="1"/>
    <xf numFmtId="3" fontId="8" fillId="0" borderId="0" xfId="0" applyNumberFormat="1" applyFont="1" applyAlignment="1">
      <alignment horizontal="right"/>
    </xf>
    <xf numFmtId="0" fontId="9" fillId="0" borderId="0" xfId="0" applyFont="1"/>
    <xf numFmtId="3" fontId="9" fillId="0" borderId="0" xfId="0" applyNumberFormat="1" applyFont="1" applyAlignment="1">
      <alignment horizontal="right"/>
    </xf>
    <xf numFmtId="173" fontId="0" fillId="0" borderId="0" xfId="0" applyNumberFormat="1"/>
    <xf numFmtId="168" fontId="2" fillId="0" borderId="0" xfId="1" applyNumberFormat="1" applyFont="1" applyBorder="1"/>
    <xf numFmtId="0" fontId="10" fillId="0" borderId="0" xfId="0" applyFont="1"/>
    <xf numFmtId="3" fontId="10" fillId="0" borderId="0" xfId="0" applyNumberFormat="1" applyFont="1" applyAlignment="1">
      <alignment horizontal="right"/>
    </xf>
    <xf numFmtId="3" fontId="8" fillId="0" borderId="0" xfId="1" applyNumberFormat="1" applyFont="1" applyBorder="1" applyAlignment="1">
      <alignment horizontal="right"/>
    </xf>
    <xf numFmtId="166" fontId="1" fillId="0" borderId="0" xfId="1" applyFont="1" applyBorder="1"/>
    <xf numFmtId="168" fontId="1" fillId="3" borderId="3" xfId="1" applyNumberFormat="1" applyFont="1" applyFill="1" applyBorder="1"/>
    <xf numFmtId="10" fontId="0" fillId="0" borderId="0" xfId="0" applyNumberFormat="1"/>
    <xf numFmtId="170" fontId="1" fillId="0" borderId="0" xfId="1" applyNumberFormat="1" applyFont="1"/>
    <xf numFmtId="174" fontId="0" fillId="0" borderId="0" xfId="0" applyNumberFormat="1"/>
    <xf numFmtId="0" fontId="12" fillId="5" borderId="14" xfId="0" applyFont="1" applyFill="1" applyBorder="1" applyAlignment="1">
      <alignment vertical="top" wrapText="1"/>
    </xf>
    <xf numFmtId="0" fontId="11" fillId="5" borderId="14" xfId="0" applyFont="1" applyFill="1" applyBorder="1" applyAlignment="1">
      <alignment horizontal="right" vertical="top"/>
    </xf>
    <xf numFmtId="0" fontId="11" fillId="5" borderId="14" xfId="0" applyFont="1" applyFill="1" applyBorder="1" applyAlignment="1">
      <alignment vertical="top" wrapText="1"/>
    </xf>
    <xf numFmtId="10" fontId="11" fillId="5" borderId="14" xfId="0" applyNumberFormat="1" applyFont="1" applyFill="1" applyBorder="1" applyAlignment="1">
      <alignment vertical="top" wrapText="1"/>
    </xf>
    <xf numFmtId="0" fontId="12" fillId="6" borderId="15" xfId="0" applyFont="1" applyFill="1" applyBorder="1" applyAlignment="1">
      <alignment vertical="top" wrapText="1"/>
    </xf>
    <xf numFmtId="0" fontId="11" fillId="6" borderId="15" xfId="0" applyFont="1" applyFill="1" applyBorder="1" applyAlignment="1">
      <alignment vertical="top"/>
    </xf>
    <xf numFmtId="0" fontId="11" fillId="6" borderId="15" xfId="0" applyFont="1" applyFill="1" applyBorder="1" applyAlignment="1">
      <alignment vertical="top" wrapText="1"/>
    </xf>
    <xf numFmtId="9" fontId="0" fillId="0" borderId="0" xfId="0" applyNumberForma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175" fontId="16" fillId="0" borderId="0" xfId="1" applyNumberFormat="1" applyFont="1"/>
    <xf numFmtId="0" fontId="17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75" fontId="0" fillId="0" borderId="0" xfId="1" applyNumberFormat="1" applyFont="1"/>
    <xf numFmtId="175" fontId="0" fillId="0" borderId="0" xfId="0" applyNumberFormat="1"/>
    <xf numFmtId="175" fontId="0" fillId="3" borderId="0" xfId="1" applyNumberFormat="1" applyFont="1" applyFill="1"/>
    <xf numFmtId="175" fontId="0" fillId="3" borderId="0" xfId="0" applyNumberFormat="1" applyFill="1"/>
    <xf numFmtId="176" fontId="0" fillId="0" borderId="0" xfId="0" applyNumberFormat="1"/>
    <xf numFmtId="0" fontId="11" fillId="5" borderId="14" xfId="0" applyFont="1" applyFill="1" applyBorder="1" applyAlignment="1">
      <alignment vertical="top"/>
    </xf>
    <xf numFmtId="175" fontId="16" fillId="0" borderId="0" xfId="1" applyNumberFormat="1" applyFont="1" applyAlignment="1">
      <alignment horizontal="center"/>
    </xf>
    <xf numFmtId="0" fontId="16" fillId="0" borderId="0" xfId="0" applyFont="1" applyAlignment="1">
      <alignment horizontal="center"/>
    </xf>
    <xf numFmtId="175" fontId="2" fillId="0" borderId="0" xfId="0" applyNumberFormat="1" applyFont="1"/>
    <xf numFmtId="165" fontId="0" fillId="0" borderId="0" xfId="3" applyFont="1"/>
    <xf numFmtId="175" fontId="0" fillId="0" borderId="0" xfId="1" applyNumberFormat="1" applyFont="1" applyFill="1"/>
    <xf numFmtId="175" fontId="2" fillId="0" borderId="0" xfId="1" applyNumberFormat="1" applyFont="1" applyFill="1"/>
    <xf numFmtId="16" fontId="0" fillId="0" borderId="0" xfId="0" applyNumberFormat="1"/>
    <xf numFmtId="0" fontId="21" fillId="7" borderId="16" xfId="0" applyFont="1" applyFill="1" applyBorder="1" applyAlignment="1">
      <alignment horizontal="left" vertical="center" wrapText="1"/>
    </xf>
    <xf numFmtId="0" fontId="24" fillId="5" borderId="14" xfId="0" applyFont="1" applyFill="1" applyBorder="1" applyAlignment="1">
      <alignment vertical="top" wrapText="1"/>
    </xf>
    <xf numFmtId="0" fontId="23" fillId="5" borderId="14" xfId="0" applyFont="1" applyFill="1" applyBorder="1" applyAlignment="1">
      <alignment horizontal="right" vertical="top"/>
    </xf>
    <xf numFmtId="8" fontId="23" fillId="5" borderId="14" xfId="0" applyNumberFormat="1" applyFont="1" applyFill="1" applyBorder="1" applyAlignment="1">
      <alignment vertical="top"/>
    </xf>
    <xf numFmtId="0" fontId="23" fillId="5" borderId="14" xfId="0" applyFont="1" applyFill="1" applyBorder="1" applyAlignment="1">
      <alignment vertical="top" wrapText="1"/>
    </xf>
    <xf numFmtId="10" fontId="23" fillId="5" borderId="14" xfId="0" applyNumberFormat="1" applyFont="1" applyFill="1" applyBorder="1" applyAlignment="1">
      <alignment vertical="top" wrapText="1"/>
    </xf>
    <xf numFmtId="0" fontId="23" fillId="5" borderId="14" xfId="0" applyFont="1" applyFill="1" applyBorder="1" applyAlignment="1">
      <alignment vertical="top"/>
    </xf>
    <xf numFmtId="0" fontId="21" fillId="7" borderId="22" xfId="0" applyFont="1" applyFill="1" applyBorder="1" applyAlignment="1">
      <alignment horizontal="left" vertical="center" wrapText="1"/>
    </xf>
    <xf numFmtId="0" fontId="21" fillId="7" borderId="23" xfId="0" applyFont="1" applyFill="1" applyBorder="1" applyAlignment="1">
      <alignment horizontal="left" vertical="center" wrapText="1"/>
    </xf>
    <xf numFmtId="0" fontId="24" fillId="6" borderId="15" xfId="0" applyFont="1" applyFill="1" applyBorder="1" applyAlignment="1">
      <alignment vertical="top" wrapText="1"/>
    </xf>
    <xf numFmtId="8" fontId="23" fillId="6" borderId="15" xfId="0" applyNumberFormat="1" applyFont="1" applyFill="1" applyBorder="1" applyAlignment="1">
      <alignment vertical="top"/>
    </xf>
    <xf numFmtId="0" fontId="23" fillId="6" borderId="15" xfId="0" applyFont="1" applyFill="1" applyBorder="1" applyAlignment="1">
      <alignment vertical="top"/>
    </xf>
    <xf numFmtId="0" fontId="23" fillId="6" borderId="15" xfId="0" applyFont="1" applyFill="1" applyBorder="1" applyAlignment="1">
      <alignment vertical="top" wrapText="1"/>
    </xf>
    <xf numFmtId="175" fontId="0" fillId="0" borderId="1" xfId="1" applyNumberFormat="1" applyFont="1" applyFill="1" applyBorder="1"/>
    <xf numFmtId="175" fontId="2" fillId="0" borderId="1" xfId="1" applyNumberFormat="1" applyFont="1" applyFill="1" applyBorder="1"/>
    <xf numFmtId="175" fontId="0" fillId="0" borderId="1" xfId="1" applyNumberFormat="1" applyFont="1" applyBorder="1"/>
    <xf numFmtId="175" fontId="0" fillId="0" borderId="1" xfId="0" applyNumberFormat="1" applyBorder="1"/>
    <xf numFmtId="4" fontId="0" fillId="3" borderId="0" xfId="0" applyNumberFormat="1" applyFill="1"/>
    <xf numFmtId="0" fontId="0" fillId="3" borderId="0" xfId="0" applyFill="1"/>
    <xf numFmtId="177" fontId="0" fillId="0" borderId="0" xfId="3" applyNumberFormat="1" applyFont="1"/>
    <xf numFmtId="0" fontId="0" fillId="0" borderId="0" xfId="0" applyAlignment="1">
      <alignment horizontal="right" vertical="center" wrapText="1"/>
    </xf>
    <xf numFmtId="8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0" fontId="0" fillId="0" borderId="0" xfId="0" applyNumberFormat="1" applyAlignment="1">
      <alignment horizontal="center" vertical="center" wrapText="1"/>
    </xf>
    <xf numFmtId="168" fontId="1" fillId="0" borderId="3" xfId="1" applyNumberFormat="1" applyFont="1" applyFill="1" applyBorder="1"/>
    <xf numFmtId="0" fontId="25" fillId="2" borderId="0" xfId="0" applyFont="1" applyFill="1"/>
    <xf numFmtId="0" fontId="26" fillId="0" borderId="0" xfId="0" applyFont="1" applyAlignment="1">
      <alignment vertical="center" wrapText="1"/>
    </xf>
    <xf numFmtId="0" fontId="25" fillId="0" borderId="0" xfId="0" applyFont="1"/>
    <xf numFmtId="3" fontId="25" fillId="0" borderId="1" xfId="3" applyNumberFormat="1" applyFont="1" applyFill="1" applyBorder="1" applyAlignment="1">
      <alignment horizontal="right"/>
    </xf>
    <xf numFmtId="165" fontId="25" fillId="0" borderId="1" xfId="3" applyFont="1" applyFill="1" applyBorder="1" applyAlignment="1">
      <alignment horizontal="center"/>
    </xf>
    <xf numFmtId="3" fontId="25" fillId="2" borderId="0" xfId="0" applyNumberFormat="1" applyFont="1" applyFill="1"/>
    <xf numFmtId="0" fontId="25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3" fontId="25" fillId="0" borderId="0" xfId="0" applyNumberFormat="1" applyFont="1"/>
    <xf numFmtId="43" fontId="0" fillId="0" borderId="0" xfId="0" applyNumberFormat="1"/>
    <xf numFmtId="168" fontId="0" fillId="0" borderId="1" xfId="0" applyNumberFormat="1" applyBorder="1"/>
    <xf numFmtId="42" fontId="0" fillId="0" borderId="1" xfId="0" applyNumberFormat="1" applyBorder="1"/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2" fontId="0" fillId="0" borderId="0" xfId="4" applyFont="1" applyAlignment="1">
      <alignment horizontal="right"/>
    </xf>
    <xf numFmtId="42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1" fillId="2" borderId="1" xfId="1" applyNumberFormat="1" applyFont="1" applyFill="1" applyBorder="1"/>
    <xf numFmtId="168" fontId="0" fillId="0" borderId="2" xfId="0" applyNumberFormat="1" applyBorder="1"/>
    <xf numFmtId="0" fontId="25" fillId="0" borderId="1" xfId="0" applyFont="1" applyBorder="1"/>
    <xf numFmtId="0" fontId="25" fillId="0" borderId="24" xfId="0" applyFont="1" applyBorder="1"/>
    <xf numFmtId="0" fontId="25" fillId="0" borderId="1" xfId="0" applyFont="1" applyBorder="1" applyAlignment="1">
      <alignment horizontal="center"/>
    </xf>
    <xf numFmtId="178" fontId="25" fillId="0" borderId="1" xfId="0" applyNumberFormat="1" applyFont="1" applyBorder="1"/>
    <xf numFmtId="178" fontId="25" fillId="0" borderId="1" xfId="0" applyNumberFormat="1" applyFont="1" applyBorder="1" applyAlignment="1">
      <alignment horizontal="center"/>
    </xf>
    <xf numFmtId="3" fontId="25" fillId="0" borderId="1" xfId="0" applyNumberFormat="1" applyFont="1" applyBorder="1" applyAlignment="1">
      <alignment horizontal="right"/>
    </xf>
    <xf numFmtId="21" fontId="25" fillId="0" borderId="1" xfId="0" applyNumberFormat="1" applyFont="1" applyBorder="1"/>
    <xf numFmtId="0" fontId="25" fillId="0" borderId="25" xfId="0" applyFont="1" applyBorder="1"/>
    <xf numFmtId="3" fontId="27" fillId="8" borderId="28" xfId="0" applyNumberFormat="1" applyFont="1" applyFill="1" applyBorder="1" applyAlignment="1">
      <alignment horizontal="center" vertical="center" wrapText="1"/>
    </xf>
    <xf numFmtId="3" fontId="27" fillId="8" borderId="29" xfId="0" applyNumberFormat="1" applyFont="1" applyFill="1" applyBorder="1" applyAlignment="1">
      <alignment horizontal="center" vertical="center" wrapText="1"/>
    </xf>
    <xf numFmtId="3" fontId="27" fillId="8" borderId="30" xfId="0" applyNumberFormat="1" applyFont="1" applyFill="1" applyBorder="1" applyAlignment="1">
      <alignment horizontal="center" vertical="center" wrapText="1"/>
    </xf>
    <xf numFmtId="3" fontId="25" fillId="0" borderId="31" xfId="3" applyNumberFormat="1" applyFont="1" applyFill="1" applyBorder="1" applyAlignment="1">
      <alignment horizontal="right"/>
    </xf>
    <xf numFmtId="3" fontId="25" fillId="0" borderId="36" xfId="3" applyNumberFormat="1" applyFont="1" applyFill="1" applyBorder="1" applyAlignment="1">
      <alignment horizontal="right"/>
    </xf>
    <xf numFmtId="0" fontId="27" fillId="8" borderId="28" xfId="0" applyFont="1" applyFill="1" applyBorder="1" applyAlignment="1">
      <alignment horizontal="center" vertical="center" wrapText="1"/>
    </xf>
    <xf numFmtId="0" fontId="27" fillId="8" borderId="29" xfId="0" applyFont="1" applyFill="1" applyBorder="1" applyAlignment="1">
      <alignment horizontal="center" vertical="center" wrapText="1"/>
    </xf>
    <xf numFmtId="3" fontId="25" fillId="0" borderId="32" xfId="3" applyNumberFormat="1" applyFont="1" applyFill="1" applyBorder="1" applyAlignment="1">
      <alignment horizontal="right"/>
    </xf>
    <xf numFmtId="3" fontId="25" fillId="0" borderId="32" xfId="0" applyNumberFormat="1" applyFont="1" applyBorder="1" applyAlignment="1">
      <alignment horizontal="right"/>
    </xf>
    <xf numFmtId="3" fontId="25" fillId="0" borderId="35" xfId="0" applyNumberFormat="1" applyFont="1" applyBorder="1" applyAlignment="1">
      <alignment horizontal="right"/>
    </xf>
    <xf numFmtId="3" fontId="25" fillId="0" borderId="31" xfId="0" applyNumberFormat="1" applyFont="1" applyBorder="1" applyAlignment="1">
      <alignment horizontal="right"/>
    </xf>
    <xf numFmtId="3" fontId="25" fillId="0" borderId="36" xfId="0" applyNumberFormat="1" applyFont="1" applyBorder="1" applyAlignment="1">
      <alignment horizontal="right"/>
    </xf>
    <xf numFmtId="0" fontId="27" fillId="8" borderId="28" xfId="0" applyFont="1" applyFill="1" applyBorder="1" applyAlignment="1">
      <alignment horizontal="center" vertical="center"/>
    </xf>
    <xf numFmtId="0" fontId="27" fillId="8" borderId="29" xfId="0" applyFont="1" applyFill="1" applyBorder="1" applyAlignment="1">
      <alignment horizontal="center" vertical="center"/>
    </xf>
    <xf numFmtId="0" fontId="27" fillId="8" borderId="30" xfId="0" applyFont="1" applyFill="1" applyBorder="1" applyAlignment="1">
      <alignment horizontal="center" vertical="center" wrapText="1"/>
    </xf>
    <xf numFmtId="0" fontId="25" fillId="0" borderId="32" xfId="0" applyFont="1" applyBorder="1"/>
    <xf numFmtId="0" fontId="25" fillId="0" borderId="31" xfId="0" applyFont="1" applyBorder="1" applyAlignment="1">
      <alignment horizontal="center"/>
    </xf>
    <xf numFmtId="0" fontId="25" fillId="2" borderId="0" xfId="0" applyFont="1" applyFill="1" applyAlignment="1">
      <alignment horizontal="left"/>
    </xf>
    <xf numFmtId="3" fontId="25" fillId="2" borderId="0" xfId="0" applyNumberFormat="1" applyFont="1" applyFill="1" applyAlignment="1">
      <alignment horizontal="center"/>
    </xf>
    <xf numFmtId="3" fontId="25" fillId="2" borderId="38" xfId="0" applyNumberFormat="1" applyFont="1" applyFill="1" applyBorder="1"/>
    <xf numFmtId="0" fontId="25" fillId="2" borderId="26" xfId="0" applyFont="1" applyFill="1" applyBorder="1"/>
    <xf numFmtId="0" fontId="25" fillId="2" borderId="37" xfId="0" applyFont="1" applyFill="1" applyBorder="1"/>
    <xf numFmtId="168" fontId="1" fillId="2" borderId="1" xfId="1" applyNumberFormat="1" applyFont="1" applyFill="1" applyBorder="1" applyAlignment="1">
      <alignment horizontal="right"/>
    </xf>
    <xf numFmtId="3" fontId="25" fillId="0" borderId="1" xfId="0" applyNumberFormat="1" applyFont="1" applyBorder="1" applyAlignment="1">
      <alignment horizontal="center"/>
    </xf>
    <xf numFmtId="3" fontId="25" fillId="0" borderId="1" xfId="3" applyNumberFormat="1" applyFont="1" applyFill="1" applyBorder="1" applyAlignment="1">
      <alignment horizontal="center"/>
    </xf>
    <xf numFmtId="0" fontId="25" fillId="2" borderId="1" xfId="0" applyFont="1" applyFill="1" applyBorder="1"/>
    <xf numFmtId="0" fontId="25" fillId="2" borderId="1" xfId="0" applyFont="1" applyFill="1" applyBorder="1" applyAlignment="1">
      <alignment horizontal="center"/>
    </xf>
    <xf numFmtId="3" fontId="25" fillId="0" borderId="24" xfId="3" applyNumberFormat="1" applyFont="1" applyFill="1" applyBorder="1" applyAlignment="1">
      <alignment horizontal="right"/>
    </xf>
    <xf numFmtId="3" fontId="25" fillId="0" borderId="24" xfId="0" applyNumberFormat="1" applyFont="1" applyBorder="1" applyAlignment="1">
      <alignment horizontal="right"/>
    </xf>
    <xf numFmtId="0" fontId="25" fillId="2" borderId="37" xfId="0" applyFont="1" applyFill="1" applyBorder="1" applyAlignment="1">
      <alignment horizontal="center"/>
    </xf>
    <xf numFmtId="0" fontId="25" fillId="0" borderId="33" xfId="0" applyFont="1" applyBorder="1"/>
    <xf numFmtId="0" fontId="25" fillId="0" borderId="35" xfId="0" applyFont="1" applyBorder="1"/>
    <xf numFmtId="3" fontId="25" fillId="0" borderId="35" xfId="0" applyNumberFormat="1" applyFont="1" applyBorder="1" applyAlignment="1">
      <alignment horizontal="center"/>
    </xf>
    <xf numFmtId="3" fontId="25" fillId="0" borderId="35" xfId="0" applyNumberFormat="1" applyFont="1" applyBorder="1"/>
    <xf numFmtId="0" fontId="25" fillId="2" borderId="35" xfId="0" applyFont="1" applyFill="1" applyBorder="1"/>
    <xf numFmtId="0" fontId="27" fillId="8" borderId="39" xfId="0" applyFont="1" applyFill="1" applyBorder="1" applyAlignment="1">
      <alignment horizontal="center" vertical="center" wrapText="1"/>
    </xf>
    <xf numFmtId="0" fontId="25" fillId="0" borderId="25" xfId="0" applyFont="1" applyBorder="1" applyAlignment="1">
      <alignment horizontal="center"/>
    </xf>
    <xf numFmtId="21" fontId="25" fillId="0" borderId="25" xfId="0" applyNumberFormat="1" applyFont="1" applyBorder="1" applyAlignment="1">
      <alignment horizontal="center"/>
    </xf>
    <xf numFmtId="0" fontId="25" fillId="2" borderId="34" xfId="0" applyFont="1" applyFill="1" applyBorder="1"/>
    <xf numFmtId="0" fontId="25" fillId="2" borderId="27" xfId="0" applyFont="1" applyFill="1" applyBorder="1"/>
    <xf numFmtId="3" fontId="25" fillId="2" borderId="33" xfId="0" applyNumberFormat="1" applyFont="1" applyFill="1" applyBorder="1"/>
    <xf numFmtId="3" fontId="25" fillId="2" borderId="35" xfId="0" applyNumberFormat="1" applyFont="1" applyFill="1" applyBorder="1"/>
    <xf numFmtId="3" fontId="25" fillId="0" borderId="24" xfId="3" applyNumberFormat="1" applyFont="1" applyFill="1" applyBorder="1" applyAlignment="1">
      <alignment horizontal="center"/>
    </xf>
    <xf numFmtId="3" fontId="25" fillId="0" borderId="24" xfId="0" applyNumberFormat="1" applyFont="1" applyBorder="1"/>
    <xf numFmtId="3" fontId="27" fillId="8" borderId="40" xfId="0" applyNumberFormat="1" applyFont="1" applyFill="1" applyBorder="1" applyAlignment="1">
      <alignment horizontal="center" vertical="center" wrapText="1"/>
    </xf>
    <xf numFmtId="3" fontId="25" fillId="2" borderId="41" xfId="0" applyNumberFormat="1" applyFont="1" applyFill="1" applyBorder="1"/>
    <xf numFmtId="3" fontId="25" fillId="2" borderId="42" xfId="0" applyNumberFormat="1" applyFont="1" applyFill="1" applyBorder="1"/>
    <xf numFmtId="3" fontId="25" fillId="2" borderId="43" xfId="0" applyNumberFormat="1" applyFont="1" applyFill="1" applyBorder="1"/>
    <xf numFmtId="3" fontId="25" fillId="2" borderId="44" xfId="0" applyNumberFormat="1" applyFont="1" applyFill="1" applyBorder="1"/>
    <xf numFmtId="3" fontId="25" fillId="2" borderId="45" xfId="0" applyNumberFormat="1" applyFont="1" applyFill="1" applyBorder="1"/>
    <xf numFmtId="3" fontId="25" fillId="2" borderId="37" xfId="0" applyNumberFormat="1" applyFont="1" applyFill="1" applyBorder="1"/>
    <xf numFmtId="0" fontId="27" fillId="8" borderId="40" xfId="0" applyFont="1" applyFill="1" applyBorder="1" applyAlignment="1">
      <alignment horizontal="center" vertical="center" wrapText="1"/>
    </xf>
    <xf numFmtId="0" fontId="25" fillId="0" borderId="36" xfId="0" applyFont="1" applyBorder="1" applyAlignment="1">
      <alignment horizontal="center"/>
    </xf>
    <xf numFmtId="0" fontId="27" fillId="8" borderId="47" xfId="0" applyFont="1" applyFill="1" applyBorder="1" applyAlignment="1">
      <alignment horizontal="center" vertical="center" wrapText="1"/>
    </xf>
    <xf numFmtId="3" fontId="25" fillId="0" borderId="48" xfId="3" applyNumberFormat="1" applyFont="1" applyFill="1" applyBorder="1" applyAlignment="1">
      <alignment horizontal="right"/>
    </xf>
    <xf numFmtId="3" fontId="25" fillId="0" borderId="49" xfId="3" applyNumberFormat="1" applyFont="1" applyFill="1" applyBorder="1" applyAlignment="1">
      <alignment horizontal="right"/>
    </xf>
    <xf numFmtId="3" fontId="25" fillId="2" borderId="50" xfId="0" applyNumberFormat="1" applyFont="1" applyFill="1" applyBorder="1"/>
    <xf numFmtId="0" fontId="25" fillId="2" borderId="33" xfId="0" applyFont="1" applyFill="1" applyBorder="1"/>
    <xf numFmtId="0" fontId="27" fillId="8" borderId="51" xfId="0" applyFont="1" applyFill="1" applyBorder="1" applyAlignment="1">
      <alignment horizontal="center" vertical="center" wrapText="1"/>
    </xf>
    <xf numFmtId="3" fontId="25" fillId="0" borderId="52" xfId="0" applyNumberFormat="1" applyFont="1" applyBorder="1"/>
    <xf numFmtId="3" fontId="25" fillId="2" borderId="53" xfId="0" applyNumberFormat="1" applyFont="1" applyFill="1" applyBorder="1"/>
    <xf numFmtId="0" fontId="26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/>
    </xf>
    <xf numFmtId="3" fontId="27" fillId="8" borderId="29" xfId="0" applyNumberFormat="1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/>
    </xf>
    <xf numFmtId="3" fontId="25" fillId="0" borderId="1" xfId="3" applyNumberFormat="1" applyFont="1" applyFill="1" applyBorder="1" applyAlignment="1">
      <alignment horizontal="left"/>
    </xf>
    <xf numFmtId="3" fontId="25" fillId="0" borderId="1" xfId="0" applyNumberFormat="1" applyFont="1" applyBorder="1" applyAlignment="1">
      <alignment horizontal="left"/>
    </xf>
    <xf numFmtId="3" fontId="25" fillId="2" borderId="35" xfId="0" applyNumberFormat="1" applyFont="1" applyFill="1" applyBorder="1" applyAlignment="1">
      <alignment horizontal="left"/>
    </xf>
    <xf numFmtId="3" fontId="25" fillId="2" borderId="43" xfId="0" applyNumberFormat="1" applyFont="1" applyFill="1" applyBorder="1" applyAlignment="1">
      <alignment horizontal="left"/>
    </xf>
    <xf numFmtId="3" fontId="25" fillId="2" borderId="0" xfId="0" applyNumberFormat="1" applyFont="1" applyFill="1" applyAlignment="1">
      <alignment horizontal="left"/>
    </xf>
    <xf numFmtId="3" fontId="25" fillId="0" borderId="0" xfId="0" applyNumberFormat="1" applyFont="1" applyAlignment="1">
      <alignment horizontal="left"/>
    </xf>
    <xf numFmtId="3" fontId="27" fillId="8" borderId="40" xfId="0" applyNumberFormat="1" applyFont="1" applyFill="1" applyBorder="1" applyAlignment="1">
      <alignment horizontal="left" vertical="center" wrapText="1"/>
    </xf>
    <xf numFmtId="3" fontId="25" fillId="0" borderId="24" xfId="3" applyNumberFormat="1" applyFont="1" applyFill="1" applyBorder="1" applyAlignment="1">
      <alignment horizontal="left"/>
    </xf>
    <xf numFmtId="3" fontId="25" fillId="0" borderId="24" xfId="0" applyNumberFormat="1" applyFont="1" applyBorder="1" applyAlignment="1">
      <alignment horizontal="left"/>
    </xf>
    <xf numFmtId="3" fontId="25" fillId="2" borderId="41" xfId="0" applyNumberFormat="1" applyFont="1" applyFill="1" applyBorder="1" applyAlignment="1">
      <alignment horizontal="left"/>
    </xf>
    <xf numFmtId="3" fontId="25" fillId="2" borderId="45" xfId="0" applyNumberFormat="1" applyFont="1" applyFill="1" applyBorder="1" applyAlignment="1">
      <alignment horizontal="left"/>
    </xf>
    <xf numFmtId="0" fontId="25" fillId="2" borderId="54" xfId="0" applyFont="1" applyFill="1" applyBorder="1"/>
    <xf numFmtId="0" fontId="25" fillId="2" borderId="24" xfId="0" applyFont="1" applyFill="1" applyBorder="1"/>
    <xf numFmtId="3" fontId="25" fillId="2" borderId="54" xfId="0" applyNumberFormat="1" applyFont="1" applyFill="1" applyBorder="1"/>
    <xf numFmtId="0" fontId="25" fillId="2" borderId="38" xfId="0" applyFont="1" applyFill="1" applyBorder="1"/>
    <xf numFmtId="0" fontId="25" fillId="2" borderId="46" xfId="0" applyFont="1" applyFill="1" applyBorder="1"/>
    <xf numFmtId="0" fontId="25" fillId="2" borderId="54" xfId="0" applyFont="1" applyFill="1" applyBorder="1" applyAlignment="1">
      <alignment horizontal="left"/>
    </xf>
    <xf numFmtId="0" fontId="25" fillId="2" borderId="46" xfId="0" applyFont="1" applyFill="1" applyBorder="1" applyAlignment="1">
      <alignment horizontal="left"/>
    </xf>
    <xf numFmtId="168" fontId="1" fillId="3" borderId="5" xfId="1" applyNumberFormat="1" applyFont="1" applyFill="1" applyBorder="1"/>
    <xf numFmtId="10" fontId="25" fillId="2" borderId="0" xfId="0" applyNumberFormat="1" applyFont="1" applyFill="1"/>
    <xf numFmtId="10" fontId="25" fillId="2" borderId="0" xfId="2" applyNumberFormat="1" applyFont="1" applyFill="1"/>
    <xf numFmtId="42" fontId="25" fillId="0" borderId="0" xfId="4" applyFont="1"/>
    <xf numFmtId="3" fontId="25" fillId="0" borderId="0" xfId="0" applyNumberFormat="1" applyFont="1" applyBorder="1"/>
    <xf numFmtId="3" fontId="25" fillId="2" borderId="0" xfId="0" applyNumberFormat="1" applyFont="1" applyFill="1" applyBorder="1"/>
    <xf numFmtId="42" fontId="25" fillId="2" borderId="0" xfId="0" applyNumberFormat="1" applyFont="1" applyFill="1"/>
    <xf numFmtId="42" fontId="25" fillId="0" borderId="0" xfId="0" applyNumberFormat="1" applyFont="1"/>
    <xf numFmtId="9" fontId="27" fillId="8" borderId="51" xfId="2" applyFont="1" applyFill="1" applyBorder="1" applyAlignment="1">
      <alignment horizontal="center" vertical="center" wrapText="1"/>
    </xf>
    <xf numFmtId="0" fontId="28" fillId="2" borderId="0" xfId="0" applyFont="1" applyFill="1"/>
    <xf numFmtId="10" fontId="28" fillId="2" borderId="0" xfId="0" applyNumberFormat="1" applyFont="1" applyFill="1"/>
    <xf numFmtId="10" fontId="28" fillId="2" borderId="0" xfId="2" applyNumberFormat="1" applyFont="1" applyFill="1"/>
    <xf numFmtId="0" fontId="29" fillId="8" borderId="51" xfId="0" applyFont="1" applyFill="1" applyBorder="1" applyAlignment="1">
      <alignment horizontal="center" vertical="center" wrapText="1"/>
    </xf>
    <xf numFmtId="9" fontId="29" fillId="8" borderId="51" xfId="2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0" xfId="0" applyNumberFormat="1" applyFont="1"/>
    <xf numFmtId="0" fontId="28" fillId="0" borderId="0" xfId="0" applyFont="1"/>
    <xf numFmtId="42" fontId="28" fillId="0" borderId="0" xfId="4" applyFont="1"/>
    <xf numFmtId="42" fontId="28" fillId="0" borderId="0" xfId="0" applyNumberFormat="1" applyFont="1"/>
    <xf numFmtId="3" fontId="28" fillId="2" borderId="0" xfId="0" applyNumberFormat="1" applyFont="1" applyFill="1" applyBorder="1"/>
    <xf numFmtId="3" fontId="28" fillId="2" borderId="0" xfId="0" applyNumberFormat="1" applyFont="1" applyFill="1"/>
    <xf numFmtId="42" fontId="28" fillId="2" borderId="0" xfId="0" applyNumberFormat="1" applyFont="1" applyFill="1"/>
    <xf numFmtId="0" fontId="25" fillId="2" borderId="0" xfId="0" applyFont="1" applyFill="1" applyBorder="1"/>
    <xf numFmtId="0" fontId="25" fillId="3" borderId="32" xfId="0" applyFont="1" applyFill="1" applyBorder="1"/>
    <xf numFmtId="0" fontId="25" fillId="3" borderId="33" xfId="0" applyFont="1" applyFill="1" applyBorder="1"/>
    <xf numFmtId="14" fontId="25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2" fillId="7" borderId="19" xfId="0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center" vertical="center" wrapText="1"/>
    </xf>
    <xf numFmtId="0" fontId="22" fillId="7" borderId="21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left" vertical="center" wrapText="1"/>
    </xf>
    <xf numFmtId="0" fontId="21" fillId="7" borderId="18" xfId="0" applyFont="1" applyFill="1" applyBorder="1" applyAlignment="1">
      <alignment horizontal="left" vertical="center" wrapText="1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17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75" fontId="16" fillId="0" borderId="0" xfId="1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</cellXfs>
  <cellStyles count="5">
    <cellStyle name="Millares" xfId="1" builtinId="3"/>
    <cellStyle name="Millares [0]" xfId="3" builtinId="6"/>
    <cellStyle name="Moneda [0]" xfId="4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500063</xdr:colOff>
      <xdr:row>49</xdr:row>
      <xdr:rowOff>174625</xdr:rowOff>
    </xdr:from>
    <xdr:to>
      <xdr:col>19</xdr:col>
      <xdr:colOff>113770</xdr:colOff>
      <xdr:row>56</xdr:row>
      <xdr:rowOff>143396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97567-4AC8-45DC-90A6-50240754C8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6"/>
        <a:stretch/>
      </xdr:blipFill>
      <xdr:spPr>
        <a:xfrm>
          <a:off x="500063" y="8299450"/>
          <a:ext cx="5946774" cy="130227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83685</xdr:colOff>
      <xdr:row>12</xdr:row>
      <xdr:rowOff>36880</xdr:rowOff>
    </xdr:from>
    <xdr:to>
      <xdr:col>12</xdr:col>
      <xdr:colOff>209097</xdr:colOff>
      <xdr:row>12</xdr:row>
      <xdr:rowOff>239482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DB4CFA0-5F3C-4060-A6CB-E0ED568BB1ED}"/>
            </a:ext>
          </a:extLst>
        </xdr:cNvPr>
        <xdr:cNvSpPr/>
      </xdr:nvSpPr>
      <xdr:spPr>
        <a:xfrm>
          <a:off x="2569710" y="2561005"/>
          <a:ext cx="1704974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LICENCIA</a:t>
          </a:r>
        </a:p>
      </xdr:txBody>
    </xdr:sp>
    <xdr:clientData/>
  </xdr:twoCellAnchor>
  <xdr:twoCellAnchor editAs="absolute">
    <xdr:from>
      <xdr:col>14</xdr:col>
      <xdr:colOff>88130</xdr:colOff>
      <xdr:row>12</xdr:row>
      <xdr:rowOff>36880</xdr:rowOff>
    </xdr:from>
    <xdr:to>
      <xdr:col>18</xdr:col>
      <xdr:colOff>345305</xdr:colOff>
      <xdr:row>12</xdr:row>
      <xdr:rowOff>239482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BA702AE-64A1-4444-879D-BFF52F6469E2}"/>
            </a:ext>
          </a:extLst>
        </xdr:cNvPr>
        <xdr:cNvSpPr/>
      </xdr:nvSpPr>
      <xdr:spPr>
        <a:xfrm>
          <a:off x="4549005" y="2561005"/>
          <a:ext cx="1704975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AUSENCIA</a:t>
          </a:r>
        </a:p>
      </xdr:txBody>
    </xdr:sp>
    <xdr:clientData/>
  </xdr:twoCellAnchor>
  <xdr:twoCellAnchor editAs="absolute">
    <xdr:from>
      <xdr:col>1</xdr:col>
      <xdr:colOff>357188</xdr:colOff>
      <xdr:row>17</xdr:row>
      <xdr:rowOff>2007</xdr:rowOff>
    </xdr:from>
    <xdr:to>
      <xdr:col>7</xdr:col>
      <xdr:colOff>74160</xdr:colOff>
      <xdr:row>17</xdr:row>
      <xdr:rowOff>200567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DA8C4B33-6E8F-4465-BB7A-0F97532CF54E}"/>
            </a:ext>
          </a:extLst>
        </xdr:cNvPr>
        <xdr:cNvSpPr/>
      </xdr:nvSpPr>
      <xdr:spPr>
        <a:xfrm>
          <a:off x="862013" y="3507207"/>
          <a:ext cx="1698172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DETALLES:</a:t>
          </a:r>
        </a:p>
      </xdr:txBody>
    </xdr:sp>
    <xdr:clientData/>
  </xdr:twoCellAnchor>
  <xdr:twoCellAnchor editAs="absolute">
    <xdr:from>
      <xdr:col>7</xdr:col>
      <xdr:colOff>369435</xdr:colOff>
      <xdr:row>17</xdr:row>
      <xdr:rowOff>407</xdr:rowOff>
    </xdr:from>
    <xdr:to>
      <xdr:col>15</xdr:col>
      <xdr:colOff>2405</xdr:colOff>
      <xdr:row>17</xdr:row>
      <xdr:rowOff>191042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D4F848-9802-4C24-800B-7E8544CE4DD8}"/>
            </a:ext>
          </a:extLst>
        </xdr:cNvPr>
        <xdr:cNvSpPr/>
      </xdr:nvSpPr>
      <xdr:spPr>
        <a:xfrm>
          <a:off x="2855460" y="3496082"/>
          <a:ext cx="1703070" cy="200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HABERES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15</xdr:col>
      <xdr:colOff>2405</xdr:colOff>
      <xdr:row>17</xdr:row>
      <xdr:rowOff>2008</xdr:rowOff>
    </xdr:from>
    <xdr:to>
      <xdr:col>18</xdr:col>
      <xdr:colOff>354830</xdr:colOff>
      <xdr:row>17</xdr:row>
      <xdr:rowOff>200568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8C4D568-1012-4080-BAAD-DC4FE153F01C}"/>
            </a:ext>
          </a:extLst>
        </xdr:cNvPr>
        <xdr:cNvSpPr/>
      </xdr:nvSpPr>
      <xdr:spPr>
        <a:xfrm>
          <a:off x="4558530" y="3507208"/>
          <a:ext cx="1704975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DESCUENTO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</xdr:col>
      <xdr:colOff>0</xdr:colOff>
      <xdr:row>21</xdr:row>
      <xdr:rowOff>184</xdr:rowOff>
    </xdr:from>
    <xdr:to>
      <xdr:col>7</xdr:col>
      <xdr:colOff>440872</xdr:colOff>
      <xdr:row>22</xdr:row>
      <xdr:rowOff>2271</xdr:rowOff>
    </xdr:to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6287FB40-748C-4772-B2D7-E3D5EB147326}"/>
            </a:ext>
          </a:extLst>
        </xdr:cNvPr>
        <xdr:cNvSpPr/>
      </xdr:nvSpPr>
      <xdr:spPr>
        <a:xfrm>
          <a:off x="495300" y="4238809"/>
          <a:ext cx="2431597" cy="20211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22298</xdr:colOff>
      <xdr:row>21</xdr:row>
      <xdr:rowOff>3542</xdr:rowOff>
    </xdr:from>
    <xdr:to>
      <xdr:col>13</xdr:col>
      <xdr:colOff>28120</xdr:colOff>
      <xdr:row>22</xdr:row>
      <xdr:rowOff>5711</xdr:rowOff>
    </xdr:to>
    <xdr:sp macro="" textlink="">
      <xdr:nvSpPr>
        <xdr:cNvPr id="9" name="Shape 19">
          <a:extLst>
            <a:ext uri="{FF2B5EF4-FFF2-40B4-BE49-F238E27FC236}">
              <a16:creationId xmlns:a16="http://schemas.microsoft.com/office/drawing/2014/main" id="{FAF29476-614E-4B6B-85BD-7675DFB6810B}"/>
            </a:ext>
          </a:extLst>
        </xdr:cNvPr>
        <xdr:cNvSpPr/>
      </xdr:nvSpPr>
      <xdr:spPr>
        <a:xfrm>
          <a:off x="3504215" y="4162792"/>
          <a:ext cx="1519238" cy="19266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62196</xdr:colOff>
      <xdr:row>21</xdr:row>
      <xdr:rowOff>184</xdr:rowOff>
    </xdr:from>
    <xdr:to>
      <xdr:col>19</xdr:col>
      <xdr:colOff>14572</xdr:colOff>
      <xdr:row>22</xdr:row>
      <xdr:rowOff>2190</xdr:rowOff>
    </xdr:to>
    <xdr:sp macro="" textlink="">
      <xdr:nvSpPr>
        <xdr:cNvPr id="10" name="Shape 19">
          <a:extLst>
            <a:ext uri="{FF2B5EF4-FFF2-40B4-BE49-F238E27FC236}">
              <a16:creationId xmlns:a16="http://schemas.microsoft.com/office/drawing/2014/main" id="{43B969BA-9615-486B-91C6-77A129C1C6A2}"/>
            </a:ext>
          </a:extLst>
        </xdr:cNvPr>
        <xdr:cNvSpPr/>
      </xdr:nvSpPr>
      <xdr:spPr>
        <a:xfrm>
          <a:off x="5163363" y="4159434"/>
          <a:ext cx="2079626" cy="1925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23</xdr:row>
      <xdr:rowOff>853</xdr:rowOff>
    </xdr:from>
    <xdr:to>
      <xdr:col>7</xdr:col>
      <xdr:colOff>440872</xdr:colOff>
      <xdr:row>24</xdr:row>
      <xdr:rowOff>1796</xdr:rowOff>
    </xdr:to>
    <xdr:sp macro="" textlink="">
      <xdr:nvSpPr>
        <xdr:cNvPr id="11" name="Shape 19">
          <a:extLst>
            <a:ext uri="{FF2B5EF4-FFF2-40B4-BE49-F238E27FC236}">
              <a16:creationId xmlns:a16="http://schemas.microsoft.com/office/drawing/2014/main" id="{D980366B-5995-4498-932A-490E74FDF86A}"/>
            </a:ext>
          </a:extLst>
        </xdr:cNvPr>
        <xdr:cNvSpPr/>
      </xdr:nvSpPr>
      <xdr:spPr>
        <a:xfrm>
          <a:off x="495300" y="4496653"/>
          <a:ext cx="2431597" cy="200968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79979</xdr:colOff>
      <xdr:row>23</xdr:row>
      <xdr:rowOff>3541</xdr:rowOff>
    </xdr:from>
    <xdr:to>
      <xdr:col>13</xdr:col>
      <xdr:colOff>14892</xdr:colOff>
      <xdr:row>24</xdr:row>
      <xdr:rowOff>5236</xdr:rowOff>
    </xdr:to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9895D950-092A-44DC-A5F7-EEA2A1CF836F}"/>
            </a:ext>
          </a:extLst>
        </xdr:cNvPr>
        <xdr:cNvSpPr/>
      </xdr:nvSpPr>
      <xdr:spPr>
        <a:xfrm>
          <a:off x="3445479" y="4406208"/>
          <a:ext cx="1564746" cy="19219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74367</xdr:colOff>
      <xdr:row>23</xdr:row>
      <xdr:rowOff>853</xdr:rowOff>
    </xdr:from>
    <xdr:to>
      <xdr:col>19</xdr:col>
      <xdr:colOff>25155</xdr:colOff>
      <xdr:row>24</xdr:row>
      <xdr:rowOff>1715</xdr:rowOff>
    </xdr:to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604021C8-D94D-4E4B-9A0D-409F031A9E3A}"/>
            </a:ext>
          </a:extLst>
        </xdr:cNvPr>
        <xdr:cNvSpPr/>
      </xdr:nvSpPr>
      <xdr:spPr>
        <a:xfrm>
          <a:off x="5175534" y="4403520"/>
          <a:ext cx="2078038" cy="19136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493715</xdr:colOff>
      <xdr:row>31</xdr:row>
      <xdr:rowOff>13833</xdr:rowOff>
    </xdr:from>
    <xdr:to>
      <xdr:col>7</xdr:col>
      <xdr:colOff>448812</xdr:colOff>
      <xdr:row>32</xdr:row>
      <xdr:rowOff>11978</xdr:rowOff>
    </xdr:to>
    <xdr:sp macro="" textlink="">
      <xdr:nvSpPr>
        <xdr:cNvPr id="14" name="Shape 19">
          <a:extLst>
            <a:ext uri="{FF2B5EF4-FFF2-40B4-BE49-F238E27FC236}">
              <a16:creationId xmlns:a16="http://schemas.microsoft.com/office/drawing/2014/main" id="{BA5B6BAB-BC04-4A3F-9429-3E44ED643C34}"/>
            </a:ext>
          </a:extLst>
        </xdr:cNvPr>
        <xdr:cNvSpPr/>
      </xdr:nvSpPr>
      <xdr:spPr>
        <a:xfrm>
          <a:off x="493715" y="5559500"/>
          <a:ext cx="2791430" cy="18864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77334</xdr:colOff>
      <xdr:row>31</xdr:row>
      <xdr:rowOff>24707</xdr:rowOff>
    </xdr:from>
    <xdr:to>
      <xdr:col>13</xdr:col>
      <xdr:colOff>2722</xdr:colOff>
      <xdr:row>32</xdr:row>
      <xdr:rowOff>15072</xdr:rowOff>
    </xdr:to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DD945314-50DA-4A82-80D6-B58C6B470366}"/>
            </a:ext>
          </a:extLst>
        </xdr:cNvPr>
        <xdr:cNvSpPr/>
      </xdr:nvSpPr>
      <xdr:spPr>
        <a:xfrm>
          <a:off x="3442834" y="5570374"/>
          <a:ext cx="1555221" cy="18086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1056</xdr:colOff>
      <xdr:row>31</xdr:row>
      <xdr:rowOff>10582</xdr:rowOff>
    </xdr:from>
    <xdr:to>
      <xdr:col>19</xdr:col>
      <xdr:colOff>25154</xdr:colOff>
      <xdr:row>32</xdr:row>
      <xdr:rowOff>1314</xdr:rowOff>
    </xdr:to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77049B93-9DA4-44F4-9373-195E4DF4D6E9}"/>
            </a:ext>
          </a:extLst>
        </xdr:cNvPr>
        <xdr:cNvSpPr/>
      </xdr:nvSpPr>
      <xdr:spPr>
        <a:xfrm>
          <a:off x="5206998" y="5556249"/>
          <a:ext cx="2046573" cy="18123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493713</xdr:colOff>
      <xdr:row>32</xdr:row>
      <xdr:rowOff>60838</xdr:rowOff>
    </xdr:from>
    <xdr:to>
      <xdr:col>7</xdr:col>
      <xdr:colOff>448810</xdr:colOff>
      <xdr:row>33</xdr:row>
      <xdr:rowOff>183886</xdr:rowOff>
    </xdr:to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5B233FAF-1852-41C1-915B-8D02848D0336}"/>
            </a:ext>
          </a:extLst>
        </xdr:cNvPr>
        <xdr:cNvSpPr/>
      </xdr:nvSpPr>
      <xdr:spPr>
        <a:xfrm>
          <a:off x="493713" y="5797005"/>
          <a:ext cx="2791430" cy="197131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6426</xdr:colOff>
      <xdr:row>32</xdr:row>
      <xdr:rowOff>67043</xdr:rowOff>
    </xdr:from>
    <xdr:to>
      <xdr:col>13</xdr:col>
      <xdr:colOff>606</xdr:colOff>
      <xdr:row>33</xdr:row>
      <xdr:rowOff>181695</xdr:rowOff>
    </xdr:to>
    <xdr:sp macro="" textlink="">
      <xdr:nvSpPr>
        <xdr:cNvPr id="18" name="Shape 19">
          <a:extLst>
            <a:ext uri="{FF2B5EF4-FFF2-40B4-BE49-F238E27FC236}">
              <a16:creationId xmlns:a16="http://schemas.microsoft.com/office/drawing/2014/main" id="{2AA805DA-89AB-4955-9D26-EA3B536CCA30}"/>
            </a:ext>
          </a:extLst>
        </xdr:cNvPr>
        <xdr:cNvSpPr/>
      </xdr:nvSpPr>
      <xdr:spPr>
        <a:xfrm>
          <a:off x="3488343" y="5803210"/>
          <a:ext cx="1500188" cy="18873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63500</xdr:colOff>
      <xdr:row>32</xdr:row>
      <xdr:rowOff>74082</xdr:rowOff>
    </xdr:from>
    <xdr:to>
      <xdr:col>19</xdr:col>
      <xdr:colOff>25158</xdr:colOff>
      <xdr:row>33</xdr:row>
      <xdr:rowOff>173755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B9B5BEF0-A3E4-44DE-BCB1-EB2D45FC67DE}"/>
            </a:ext>
          </a:extLst>
        </xdr:cNvPr>
        <xdr:cNvSpPr/>
      </xdr:nvSpPr>
      <xdr:spPr>
        <a:xfrm>
          <a:off x="5164667" y="5810249"/>
          <a:ext cx="2088908" cy="17375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493713</xdr:colOff>
      <xdr:row>34</xdr:row>
      <xdr:rowOff>57759</xdr:rowOff>
    </xdr:from>
    <xdr:to>
      <xdr:col>7</xdr:col>
      <xdr:colOff>448810</xdr:colOff>
      <xdr:row>36</xdr:row>
      <xdr:rowOff>6122</xdr:rowOff>
    </xdr:to>
    <xdr:sp macro="" textlink="">
      <xdr:nvSpPr>
        <xdr:cNvPr id="20" name="Shape 19">
          <a:extLst>
            <a:ext uri="{FF2B5EF4-FFF2-40B4-BE49-F238E27FC236}">
              <a16:creationId xmlns:a16="http://schemas.microsoft.com/office/drawing/2014/main" id="{D9AEB73C-FBE0-47A2-855B-9A5E5BC80E3D}"/>
            </a:ext>
          </a:extLst>
        </xdr:cNvPr>
        <xdr:cNvSpPr/>
      </xdr:nvSpPr>
      <xdr:spPr>
        <a:xfrm>
          <a:off x="493713" y="6058509"/>
          <a:ext cx="2791430" cy="2023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85271</xdr:colOff>
      <xdr:row>34</xdr:row>
      <xdr:rowOff>44002</xdr:rowOff>
    </xdr:from>
    <xdr:to>
      <xdr:col>13</xdr:col>
      <xdr:colOff>1588</xdr:colOff>
      <xdr:row>35</xdr:row>
      <xdr:rowOff>177271</xdr:rowOff>
    </xdr:to>
    <xdr:sp macro="" textlink="">
      <xdr:nvSpPr>
        <xdr:cNvPr id="21" name="Shape 19">
          <a:extLst>
            <a:ext uri="{FF2B5EF4-FFF2-40B4-BE49-F238E27FC236}">
              <a16:creationId xmlns:a16="http://schemas.microsoft.com/office/drawing/2014/main" id="{29FFDC66-57CC-480A-9388-8C8CEEB1D673}"/>
            </a:ext>
          </a:extLst>
        </xdr:cNvPr>
        <xdr:cNvSpPr/>
      </xdr:nvSpPr>
      <xdr:spPr>
        <a:xfrm>
          <a:off x="3450771" y="6044752"/>
          <a:ext cx="1546150" cy="19676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42335</xdr:colOff>
      <xdr:row>34</xdr:row>
      <xdr:rowOff>47177</xdr:rowOff>
    </xdr:from>
    <xdr:to>
      <xdr:col>19</xdr:col>
      <xdr:colOff>34153</xdr:colOff>
      <xdr:row>35</xdr:row>
      <xdr:rowOff>179916</xdr:rowOff>
    </xdr:to>
    <xdr:sp macro="" textlink="">
      <xdr:nvSpPr>
        <xdr:cNvPr id="22" name="Shape 19">
          <a:extLst>
            <a:ext uri="{FF2B5EF4-FFF2-40B4-BE49-F238E27FC236}">
              <a16:creationId xmlns:a16="http://schemas.microsoft.com/office/drawing/2014/main" id="{6BADEDDF-A955-4AAA-91D3-2FC37EEC6F53}"/>
            </a:ext>
          </a:extLst>
        </xdr:cNvPr>
        <xdr:cNvSpPr/>
      </xdr:nvSpPr>
      <xdr:spPr>
        <a:xfrm>
          <a:off x="5143502" y="6047927"/>
          <a:ext cx="2119068" cy="19623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493715</xdr:colOff>
      <xdr:row>37</xdr:row>
      <xdr:rowOff>10572</xdr:rowOff>
    </xdr:from>
    <xdr:to>
      <xdr:col>7</xdr:col>
      <xdr:colOff>448812</xdr:colOff>
      <xdr:row>38</xdr:row>
      <xdr:rowOff>22962</xdr:rowOff>
    </xdr:to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81C10726-26A7-4907-9E31-D1CEAB6865EC}"/>
            </a:ext>
          </a:extLst>
        </xdr:cNvPr>
        <xdr:cNvSpPr/>
      </xdr:nvSpPr>
      <xdr:spPr>
        <a:xfrm>
          <a:off x="493715" y="6339405"/>
          <a:ext cx="2791430" cy="20289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77334</xdr:colOff>
      <xdr:row>36</xdr:row>
      <xdr:rowOff>59104</xdr:rowOff>
    </xdr:from>
    <xdr:to>
      <xdr:col>13</xdr:col>
      <xdr:colOff>2722</xdr:colOff>
      <xdr:row>37</xdr:row>
      <xdr:rowOff>171923</xdr:rowOff>
    </xdr:to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AF5AB118-BB78-4B72-8651-E691114C0DCA}"/>
            </a:ext>
          </a:extLst>
        </xdr:cNvPr>
        <xdr:cNvSpPr/>
      </xdr:nvSpPr>
      <xdr:spPr>
        <a:xfrm>
          <a:off x="3442834" y="6313854"/>
          <a:ext cx="1555221" cy="18690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53733</xdr:colOff>
      <xdr:row>36</xdr:row>
      <xdr:rowOff>37031</xdr:rowOff>
    </xdr:from>
    <xdr:to>
      <xdr:col>19</xdr:col>
      <xdr:colOff>25158</xdr:colOff>
      <xdr:row>37</xdr:row>
      <xdr:rowOff>165757</xdr:rowOff>
    </xdr:to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CE8CE8EF-F1C0-4E6A-99E0-533C8A307C9B}"/>
            </a:ext>
          </a:extLst>
        </xdr:cNvPr>
        <xdr:cNvSpPr/>
      </xdr:nvSpPr>
      <xdr:spPr>
        <a:xfrm>
          <a:off x="5154900" y="6291781"/>
          <a:ext cx="2098675" cy="20280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87313</xdr:colOff>
      <xdr:row>40</xdr:row>
      <xdr:rowOff>22204</xdr:rowOff>
    </xdr:from>
    <xdr:to>
      <xdr:col>13</xdr:col>
      <xdr:colOff>3176</xdr:colOff>
      <xdr:row>41</xdr:row>
      <xdr:rowOff>23332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576601C0-21C2-44BD-A3DB-81BE0D3FA904}"/>
            </a:ext>
          </a:extLst>
        </xdr:cNvPr>
        <xdr:cNvSpPr/>
      </xdr:nvSpPr>
      <xdr:spPr>
        <a:xfrm>
          <a:off x="3452813" y="6848454"/>
          <a:ext cx="1545696" cy="233961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14</xdr:col>
      <xdr:colOff>90771</xdr:colOff>
      <xdr:row>40</xdr:row>
      <xdr:rowOff>11621</xdr:rowOff>
    </xdr:from>
    <xdr:to>
      <xdr:col>19</xdr:col>
      <xdr:colOff>43918</xdr:colOff>
      <xdr:row>41</xdr:row>
      <xdr:rowOff>12749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DE6160CE-891E-4332-B01C-5808ED532A9B}"/>
            </a:ext>
          </a:extLst>
        </xdr:cNvPr>
        <xdr:cNvSpPr/>
      </xdr:nvSpPr>
      <xdr:spPr>
        <a:xfrm>
          <a:off x="5201463" y="6837871"/>
          <a:ext cx="2070872" cy="233961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0</xdr:col>
      <xdr:colOff>490977</xdr:colOff>
      <xdr:row>43</xdr:row>
      <xdr:rowOff>5645</xdr:rowOff>
    </xdr:from>
    <xdr:to>
      <xdr:col>7</xdr:col>
      <xdr:colOff>206375</xdr:colOff>
      <xdr:row>44</xdr:row>
      <xdr:rowOff>13227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B85E3565-BC40-4939-BA3E-9697C55D46AE}"/>
            </a:ext>
          </a:extLst>
        </xdr:cNvPr>
        <xdr:cNvSpPr/>
      </xdr:nvSpPr>
      <xdr:spPr>
        <a:xfrm>
          <a:off x="490977" y="7181145"/>
          <a:ext cx="2551731" cy="198082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0</xdr:col>
      <xdr:colOff>490976</xdr:colOff>
      <xdr:row>40</xdr:row>
      <xdr:rowOff>6884</xdr:rowOff>
    </xdr:from>
    <xdr:to>
      <xdr:col>7</xdr:col>
      <xdr:colOff>198436</xdr:colOff>
      <xdr:row>41</xdr:row>
      <xdr:rowOff>3520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7E21F79C-E830-48A2-A786-55AACAD20C1B}"/>
            </a:ext>
          </a:extLst>
        </xdr:cNvPr>
        <xdr:cNvSpPr/>
      </xdr:nvSpPr>
      <xdr:spPr>
        <a:xfrm>
          <a:off x="490976" y="6833134"/>
          <a:ext cx="2543793" cy="229469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53975</xdr:colOff>
      <xdr:row>40</xdr:row>
      <xdr:rowOff>42618</xdr:rowOff>
    </xdr:from>
    <xdr:to>
      <xdr:col>5</xdr:col>
      <xdr:colOff>568098</xdr:colOff>
      <xdr:row>40</xdr:row>
      <xdr:rowOff>228525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8EC99C0D-948F-4B7A-9A62-081D66B4BB8B}"/>
            </a:ext>
          </a:extLst>
        </xdr:cNvPr>
        <xdr:cNvSpPr/>
      </xdr:nvSpPr>
      <xdr:spPr>
        <a:xfrm>
          <a:off x="625475" y="6868868"/>
          <a:ext cx="1995790" cy="185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TOTALES:</a:t>
          </a:r>
        </a:p>
      </xdr:txBody>
    </xdr:sp>
    <xdr:clientData/>
  </xdr:twoCellAnchor>
  <xdr:twoCellAnchor editAs="absolute">
    <xdr:from>
      <xdr:col>1</xdr:col>
      <xdr:colOff>12701</xdr:colOff>
      <xdr:row>43</xdr:row>
      <xdr:rowOff>18887</xdr:rowOff>
    </xdr:from>
    <xdr:to>
      <xdr:col>5</xdr:col>
      <xdr:colOff>526824</xdr:colOff>
      <xdr:row>44</xdr:row>
      <xdr:rowOff>11126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A23FF5B5-65A4-4145-8E5B-8DD19EC454FD}"/>
            </a:ext>
          </a:extLst>
        </xdr:cNvPr>
        <xdr:cNvSpPr/>
      </xdr:nvSpPr>
      <xdr:spPr>
        <a:xfrm>
          <a:off x="584201" y="7194387"/>
          <a:ext cx="1995790" cy="1827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 A PAGAR:</a:t>
          </a:r>
        </a:p>
      </xdr:txBody>
    </xdr:sp>
    <xdr:clientData/>
  </xdr:twoCellAnchor>
  <xdr:twoCellAnchor editAs="absolute">
    <xdr:from>
      <xdr:col>8</xdr:col>
      <xdr:colOff>84667</xdr:colOff>
      <xdr:row>42</xdr:row>
      <xdr:rowOff>58557</xdr:rowOff>
    </xdr:from>
    <xdr:to>
      <xdr:col>19</xdr:col>
      <xdr:colOff>31750</xdr:colOff>
      <xdr:row>43</xdr:row>
      <xdr:rowOff>180972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D92D377F-15F0-4170-B159-C13DA1BCBC5A}"/>
            </a:ext>
          </a:extLst>
        </xdr:cNvPr>
        <xdr:cNvSpPr/>
      </xdr:nvSpPr>
      <xdr:spPr>
        <a:xfrm>
          <a:off x="3450167" y="7159974"/>
          <a:ext cx="3810000" cy="206023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-</a:t>
          </a:r>
        </a:p>
      </xdr:txBody>
    </xdr:sp>
    <xdr:clientData/>
  </xdr:twoCellAnchor>
  <xdr:twoCellAnchor editAs="absolute">
    <xdr:from>
      <xdr:col>1</xdr:col>
      <xdr:colOff>1838</xdr:colOff>
      <xdr:row>7</xdr:row>
      <xdr:rowOff>7493</xdr:rowOff>
    </xdr:from>
    <xdr:to>
      <xdr:col>2</xdr:col>
      <xdr:colOff>34290</xdr:colOff>
      <xdr:row>7</xdr:row>
      <xdr:rowOff>186081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D6C6C4A6-9577-4F2D-81AB-B9AF414536D6}"/>
            </a:ext>
          </a:extLst>
        </xdr:cNvPr>
        <xdr:cNvSpPr/>
      </xdr:nvSpPr>
      <xdr:spPr>
        <a:xfrm>
          <a:off x="506663" y="1360043"/>
          <a:ext cx="508702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1837</xdr:colOff>
      <xdr:row>8</xdr:row>
      <xdr:rowOff>71438</xdr:rowOff>
    </xdr:from>
    <xdr:to>
      <xdr:col>3</xdr:col>
      <xdr:colOff>103187</xdr:colOff>
      <xdr:row>9</xdr:row>
      <xdr:rowOff>1111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78D6998E-A030-4A4F-83DC-D5F4185BDF00}"/>
            </a:ext>
          </a:extLst>
        </xdr:cNvPr>
        <xdr:cNvSpPr/>
      </xdr:nvSpPr>
      <xdr:spPr>
        <a:xfrm>
          <a:off x="506662" y="1614488"/>
          <a:ext cx="758575" cy="13922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NOMBRE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1838</xdr:colOff>
      <xdr:row>9</xdr:row>
      <xdr:rowOff>65256</xdr:rowOff>
    </xdr:from>
    <xdr:to>
      <xdr:col>5</xdr:col>
      <xdr:colOff>92256</xdr:colOff>
      <xdr:row>10</xdr:row>
      <xdr:rowOff>3602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61E5AC0E-3737-4457-A7CA-4FC44B9867DC}"/>
            </a:ext>
          </a:extLst>
        </xdr:cNvPr>
        <xdr:cNvSpPr/>
      </xdr:nvSpPr>
      <xdr:spPr>
        <a:xfrm>
          <a:off x="506663" y="1817856"/>
          <a:ext cx="1395343" cy="15001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FECHA DE INGRESO:</a:t>
          </a:r>
        </a:p>
      </xdr:txBody>
    </xdr:sp>
    <xdr:clientData/>
  </xdr:twoCellAnchor>
  <xdr:twoCellAnchor editAs="absolute">
    <xdr:from>
      <xdr:col>1</xdr:col>
      <xdr:colOff>1838</xdr:colOff>
      <xdr:row>10</xdr:row>
      <xdr:rowOff>51122</xdr:rowOff>
    </xdr:from>
    <xdr:to>
      <xdr:col>3</xdr:col>
      <xdr:colOff>2993</xdr:colOff>
      <xdr:row>11</xdr:row>
      <xdr:rowOff>1110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0339E49A-F7E6-43E8-96D5-58F25711301B}"/>
            </a:ext>
          </a:extLst>
        </xdr:cNvPr>
        <xdr:cNvSpPr/>
      </xdr:nvSpPr>
      <xdr:spPr>
        <a:xfrm>
          <a:off x="506663" y="2022797"/>
          <a:ext cx="658380" cy="15953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CARGO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3810</xdr:colOff>
      <xdr:row>12</xdr:row>
      <xdr:rowOff>13335</xdr:rowOff>
    </xdr:from>
    <xdr:to>
      <xdr:col>5</xdr:col>
      <xdr:colOff>576911</xdr:colOff>
      <xdr:row>13</xdr:row>
      <xdr:rowOff>320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83789792-E2F6-42D3-8F2D-03F6840FDBD1}"/>
            </a:ext>
          </a:extLst>
        </xdr:cNvPr>
        <xdr:cNvSpPr/>
      </xdr:nvSpPr>
      <xdr:spPr>
        <a:xfrm>
          <a:off x="508635" y="2537460"/>
          <a:ext cx="1878026" cy="230401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TRABAJADOS:</a:t>
          </a:r>
        </a:p>
      </xdr:txBody>
    </xdr:sp>
    <xdr:clientData/>
  </xdr:twoCellAnchor>
  <xdr:twoCellAnchor editAs="absolute">
    <xdr:from>
      <xdr:col>7</xdr:col>
      <xdr:colOff>14152</xdr:colOff>
      <xdr:row>12</xdr:row>
      <xdr:rowOff>13335</xdr:rowOff>
    </xdr:from>
    <xdr:to>
      <xdr:col>13</xdr:col>
      <xdr:colOff>4549</xdr:colOff>
      <xdr:row>13</xdr:row>
      <xdr:rowOff>320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6FD8392D-1FF7-4D7D-BC11-1B1A880C4623}"/>
            </a:ext>
          </a:extLst>
        </xdr:cNvPr>
        <xdr:cNvSpPr/>
      </xdr:nvSpPr>
      <xdr:spPr>
        <a:xfrm>
          <a:off x="2500177" y="2537460"/>
          <a:ext cx="1884284" cy="230401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LICENCIA:</a:t>
          </a:r>
        </a:p>
      </xdr:txBody>
    </xdr:sp>
    <xdr:clientData/>
  </xdr:twoCellAnchor>
  <xdr:twoCellAnchor editAs="absolute">
    <xdr:from>
      <xdr:col>14</xdr:col>
      <xdr:colOff>35742</xdr:colOff>
      <xdr:row>12</xdr:row>
      <xdr:rowOff>13335</xdr:rowOff>
    </xdr:from>
    <xdr:to>
      <xdr:col>18</xdr:col>
      <xdr:colOff>416982</xdr:colOff>
      <xdr:row>13</xdr:row>
      <xdr:rowOff>320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2CF8DA5A-EEE1-4399-84AB-83DA6E1799CD}"/>
            </a:ext>
          </a:extLst>
        </xdr:cNvPr>
        <xdr:cNvSpPr/>
      </xdr:nvSpPr>
      <xdr:spPr>
        <a:xfrm>
          <a:off x="4496617" y="2537460"/>
          <a:ext cx="1886190" cy="230401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AUSENCIA:</a:t>
          </a:r>
        </a:p>
      </xdr:txBody>
    </xdr:sp>
    <xdr:clientData/>
  </xdr:twoCellAnchor>
  <xdr:twoCellAnchor editAs="absolute">
    <xdr:from>
      <xdr:col>1</xdr:col>
      <xdr:colOff>3810</xdr:colOff>
      <xdr:row>14</xdr:row>
      <xdr:rowOff>9525</xdr:rowOff>
    </xdr:from>
    <xdr:to>
      <xdr:col>5</xdr:col>
      <xdr:colOff>576911</xdr:colOff>
      <xdr:row>15</xdr:row>
      <xdr:rowOff>265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30A0C28F-7917-4BCA-9DB2-B08F5AB965FC}"/>
            </a:ext>
          </a:extLst>
        </xdr:cNvPr>
        <xdr:cNvSpPr/>
      </xdr:nvSpPr>
      <xdr:spPr>
        <a:xfrm>
          <a:off x="508635" y="2838450"/>
          <a:ext cx="1878026" cy="228865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7</xdr:col>
      <xdr:colOff>14152</xdr:colOff>
      <xdr:row>14</xdr:row>
      <xdr:rowOff>9525</xdr:rowOff>
    </xdr:from>
    <xdr:to>
      <xdr:col>13</xdr:col>
      <xdr:colOff>4549</xdr:colOff>
      <xdr:row>15</xdr:row>
      <xdr:rowOff>265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F4806168-8A21-41BA-9432-9AFF843F8DA1}"/>
            </a:ext>
          </a:extLst>
        </xdr:cNvPr>
        <xdr:cNvSpPr/>
      </xdr:nvSpPr>
      <xdr:spPr>
        <a:xfrm>
          <a:off x="2500177" y="2838450"/>
          <a:ext cx="1884284" cy="228865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14</xdr:col>
      <xdr:colOff>9600</xdr:colOff>
      <xdr:row>14</xdr:row>
      <xdr:rowOff>9525</xdr:rowOff>
    </xdr:from>
    <xdr:to>
      <xdr:col>18</xdr:col>
      <xdr:colOff>418887</xdr:colOff>
      <xdr:row>15</xdr:row>
      <xdr:rowOff>265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5A0FAD4C-18CD-45D3-9D80-620C76C1E636}"/>
            </a:ext>
          </a:extLst>
        </xdr:cNvPr>
        <xdr:cNvSpPr/>
      </xdr:nvSpPr>
      <xdr:spPr>
        <a:xfrm>
          <a:off x="4488997" y="2838450"/>
          <a:ext cx="1886190" cy="228865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</xdr:col>
      <xdr:colOff>3810</xdr:colOff>
      <xdr:row>16</xdr:row>
      <xdr:rowOff>179070</xdr:rowOff>
    </xdr:from>
    <xdr:to>
      <xdr:col>7</xdr:col>
      <xdr:colOff>454207</xdr:colOff>
      <xdr:row>18</xdr:row>
      <xdr:rowOff>17040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A9E8FD5B-FD13-4333-9CE7-C3E5E78B04CD}"/>
            </a:ext>
          </a:extLst>
        </xdr:cNvPr>
        <xdr:cNvSpPr/>
      </xdr:nvSpPr>
      <xdr:spPr>
        <a:xfrm>
          <a:off x="508635" y="3501390"/>
          <a:ext cx="2431597" cy="23040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DETALLE:</a:t>
          </a:r>
        </a:p>
      </xdr:txBody>
    </xdr:sp>
    <xdr:clientData/>
  </xdr:twoCellAnchor>
  <xdr:twoCellAnchor editAs="absolute">
    <xdr:from>
      <xdr:col>8</xdr:col>
      <xdr:colOff>78921</xdr:colOff>
      <xdr:row>16</xdr:row>
      <xdr:rowOff>179070</xdr:rowOff>
    </xdr:from>
    <xdr:to>
      <xdr:col>13</xdr:col>
      <xdr:colOff>1607</xdr:colOff>
      <xdr:row>18</xdr:row>
      <xdr:rowOff>17040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F99CFEDE-D1AB-4078-8CD9-15E503AF3D1A}"/>
            </a:ext>
          </a:extLst>
        </xdr:cNvPr>
        <xdr:cNvSpPr/>
      </xdr:nvSpPr>
      <xdr:spPr>
        <a:xfrm>
          <a:off x="3031671" y="3501390"/>
          <a:ext cx="1359373" cy="23040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HABERES:</a:t>
          </a:r>
        </a:p>
      </xdr:txBody>
    </xdr:sp>
    <xdr:clientData/>
  </xdr:twoCellAnchor>
  <xdr:twoCellAnchor editAs="absolute">
    <xdr:from>
      <xdr:col>14</xdr:col>
      <xdr:colOff>1980</xdr:colOff>
      <xdr:row>16</xdr:row>
      <xdr:rowOff>179070</xdr:rowOff>
    </xdr:from>
    <xdr:to>
      <xdr:col>19</xdr:col>
      <xdr:colOff>921</xdr:colOff>
      <xdr:row>18</xdr:row>
      <xdr:rowOff>17040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E22CA525-6C81-4798-94F1-D7A54518A62C}"/>
            </a:ext>
          </a:extLst>
        </xdr:cNvPr>
        <xdr:cNvSpPr/>
      </xdr:nvSpPr>
      <xdr:spPr>
        <a:xfrm>
          <a:off x="4481377" y="3501390"/>
          <a:ext cx="1912406" cy="23040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DESCUENTO:</a:t>
          </a:r>
        </a:p>
      </xdr:txBody>
    </xdr:sp>
    <xdr:clientData/>
  </xdr:twoCellAnchor>
  <xdr:twoCellAnchor editAs="absolute">
    <xdr:from>
      <xdr:col>10</xdr:col>
      <xdr:colOff>110634</xdr:colOff>
      <xdr:row>7</xdr:row>
      <xdr:rowOff>7493</xdr:rowOff>
    </xdr:from>
    <xdr:to>
      <xdr:col>14</xdr:col>
      <xdr:colOff>94954</xdr:colOff>
      <xdr:row>7</xdr:row>
      <xdr:rowOff>186081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EAA13E5C-9E33-490D-AF28-0DB259995D4A}"/>
            </a:ext>
          </a:extLst>
        </xdr:cNvPr>
        <xdr:cNvSpPr/>
      </xdr:nvSpPr>
      <xdr:spPr>
        <a:xfrm>
          <a:off x="3445971" y="1360043"/>
          <a:ext cx="1119383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RAZÓN SOCIAL: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8</xdr:row>
      <xdr:rowOff>70173</xdr:rowOff>
    </xdr:from>
    <xdr:to>
      <xdr:col>11</xdr:col>
      <xdr:colOff>476749</xdr:colOff>
      <xdr:row>9</xdr:row>
      <xdr:rowOff>1111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0BAB8678-3E16-4CD6-8EB5-88BBC102A840}"/>
            </a:ext>
          </a:extLst>
        </xdr:cNvPr>
        <xdr:cNvSpPr/>
      </xdr:nvSpPr>
      <xdr:spPr>
        <a:xfrm>
          <a:off x="3445972" y="1613223"/>
          <a:ext cx="477239" cy="1404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9</xdr:row>
      <xdr:rowOff>68036</xdr:rowOff>
    </xdr:from>
    <xdr:to>
      <xdr:col>12</xdr:col>
      <xdr:colOff>271009</xdr:colOff>
      <xdr:row>10</xdr:row>
      <xdr:rowOff>3602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9700A308-488E-4EC1-8EA5-445A0B6B8C1F}"/>
            </a:ext>
          </a:extLst>
        </xdr:cNvPr>
        <xdr:cNvSpPr/>
      </xdr:nvSpPr>
      <xdr:spPr>
        <a:xfrm>
          <a:off x="3445972" y="1820636"/>
          <a:ext cx="890624" cy="14723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DIRECCIÓN:</a:t>
          </a:r>
        </a:p>
      </xdr:txBody>
    </xdr:sp>
    <xdr:clientData/>
  </xdr:twoCellAnchor>
  <xdr:twoCellAnchor editAs="absolute">
    <xdr:from>
      <xdr:col>10</xdr:col>
      <xdr:colOff>110635</xdr:colOff>
      <xdr:row>10</xdr:row>
      <xdr:rowOff>51122</xdr:rowOff>
    </xdr:from>
    <xdr:to>
      <xdr:col>11</xdr:col>
      <xdr:colOff>608194</xdr:colOff>
      <xdr:row>11</xdr:row>
      <xdr:rowOff>1110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6A580721-3CB9-4A8B-A406-B02DE30BD08E}"/>
            </a:ext>
          </a:extLst>
        </xdr:cNvPr>
        <xdr:cNvSpPr/>
      </xdr:nvSpPr>
      <xdr:spPr>
        <a:xfrm>
          <a:off x="3445972" y="2022797"/>
          <a:ext cx="608684" cy="15953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EMAIL: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359797</xdr:colOff>
      <xdr:row>2</xdr:row>
      <xdr:rowOff>8245</xdr:rowOff>
    </xdr:from>
    <xdr:to>
      <xdr:col>15</xdr:col>
      <xdr:colOff>302812</xdr:colOff>
      <xdr:row>2</xdr:row>
      <xdr:rowOff>181427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8CF3C7AF-101C-4D3A-B0C2-ACD102C15487}"/>
            </a:ext>
          </a:extLst>
        </xdr:cNvPr>
        <xdr:cNvSpPr/>
      </xdr:nvSpPr>
      <xdr:spPr>
        <a:xfrm>
          <a:off x="1807597" y="389245"/>
          <a:ext cx="3076740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accent1">
                  <a:lumMod val="75000"/>
                </a:schemeClr>
              </a:solidFill>
            </a:rPr>
            <a:t>LIQUIDACIÓN DE SUELDO</a:t>
          </a:r>
          <a:r>
            <a:rPr lang="es-CL" sz="1400" b="1" baseline="0">
              <a:solidFill>
                <a:schemeClr val="accent1">
                  <a:lumMod val="75000"/>
                </a:schemeClr>
              </a:solidFill>
            </a:rPr>
            <a:t> MENSUAL</a:t>
          </a:r>
          <a:endParaRPr lang="es-CL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64976</xdr:colOff>
      <xdr:row>49</xdr:row>
      <xdr:rowOff>8250</xdr:rowOff>
    </xdr:from>
    <xdr:to>
      <xdr:col>18</xdr:col>
      <xdr:colOff>242662</xdr:colOff>
      <xdr:row>49</xdr:row>
      <xdr:rowOff>181432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0ED35500-5A0E-4003-95C5-6EBA1A5C265E}"/>
            </a:ext>
          </a:extLst>
        </xdr:cNvPr>
        <xdr:cNvSpPr/>
      </xdr:nvSpPr>
      <xdr:spPr>
        <a:xfrm>
          <a:off x="4646501" y="8133075"/>
          <a:ext cx="1520711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50" b="1">
              <a:solidFill>
                <a:schemeClr val="accent1">
                  <a:lumMod val="75000"/>
                </a:schemeClr>
              </a:solidFill>
              <a:latin typeface="Raleway" panose="020B0503030101060003" pitchFamily="34" charset="0"/>
            </a:rPr>
            <a:t>FIRMA TRABAJADOR</a:t>
          </a:r>
        </a:p>
      </xdr:txBody>
    </xdr:sp>
    <xdr:clientData/>
  </xdr:twoCellAnchor>
  <xdr:twoCellAnchor>
    <xdr:from>
      <xdr:col>13</xdr:col>
      <xdr:colOff>54429</xdr:colOff>
      <xdr:row>48</xdr:row>
      <xdr:rowOff>63500</xdr:rowOff>
    </xdr:from>
    <xdr:to>
      <xdr:col>18</xdr:col>
      <xdr:colOff>411159</xdr:colOff>
      <xdr:row>48</xdr:row>
      <xdr:rowOff>63500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D023C217-E7F0-4F92-B9BF-E5DD42236610}"/>
            </a:ext>
          </a:extLst>
        </xdr:cNvPr>
        <xdr:cNvCxnSpPr/>
      </xdr:nvCxnSpPr>
      <xdr:spPr>
        <a:xfrm>
          <a:off x="4445454" y="7997825"/>
          <a:ext cx="1890255" cy="0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10582</xdr:colOff>
      <xdr:row>25</xdr:row>
      <xdr:rowOff>15877</xdr:rowOff>
    </xdr:from>
    <xdr:to>
      <xdr:col>7</xdr:col>
      <xdr:colOff>412750</xdr:colOff>
      <xdr:row>26</xdr:row>
      <xdr:rowOff>21167</xdr:rowOff>
    </xdr:to>
    <xdr:sp macro="" textlink="">
      <xdr:nvSpPr>
        <xdr:cNvPr id="54" name="Shape 19">
          <a:extLst>
            <a:ext uri="{FF2B5EF4-FFF2-40B4-BE49-F238E27FC236}">
              <a16:creationId xmlns:a16="http://schemas.microsoft.com/office/drawing/2014/main" id="{8045B2E3-08F1-4B65-ABB5-5B186C8B351C}"/>
            </a:ext>
          </a:extLst>
        </xdr:cNvPr>
        <xdr:cNvSpPr/>
      </xdr:nvSpPr>
      <xdr:spPr>
        <a:xfrm>
          <a:off x="582082" y="4661960"/>
          <a:ext cx="2667001" cy="19579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93662</xdr:colOff>
      <xdr:row>25</xdr:row>
      <xdr:rowOff>5292</xdr:rowOff>
    </xdr:from>
    <xdr:to>
      <xdr:col>13</xdr:col>
      <xdr:colOff>0</xdr:colOff>
      <xdr:row>25</xdr:row>
      <xdr:rowOff>189549</xdr:rowOff>
    </xdr:to>
    <xdr:sp macro="" textlink="">
      <xdr:nvSpPr>
        <xdr:cNvPr id="55" name="Shape 19">
          <a:extLst>
            <a:ext uri="{FF2B5EF4-FFF2-40B4-BE49-F238E27FC236}">
              <a16:creationId xmlns:a16="http://schemas.microsoft.com/office/drawing/2014/main" id="{5BD94DEB-8585-41B4-8777-80858C4259B3}"/>
            </a:ext>
          </a:extLst>
        </xdr:cNvPr>
        <xdr:cNvSpPr/>
      </xdr:nvSpPr>
      <xdr:spPr>
        <a:xfrm>
          <a:off x="3468687" y="4651375"/>
          <a:ext cx="1509713" cy="18425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73550</xdr:colOff>
      <xdr:row>25</xdr:row>
      <xdr:rowOff>21167</xdr:rowOff>
    </xdr:from>
    <xdr:to>
      <xdr:col>19</xdr:col>
      <xdr:colOff>24338</xdr:colOff>
      <xdr:row>26</xdr:row>
      <xdr:rowOff>22029</xdr:rowOff>
    </xdr:to>
    <xdr:sp macro="" textlink="">
      <xdr:nvSpPr>
        <xdr:cNvPr id="56" name="Shape 19">
          <a:extLst>
            <a:ext uri="{FF2B5EF4-FFF2-40B4-BE49-F238E27FC236}">
              <a16:creationId xmlns:a16="http://schemas.microsoft.com/office/drawing/2014/main" id="{877D1FC2-6566-4A49-8FC5-49F40F43921B}"/>
            </a:ext>
          </a:extLst>
        </xdr:cNvPr>
        <xdr:cNvSpPr/>
      </xdr:nvSpPr>
      <xdr:spPr>
        <a:xfrm>
          <a:off x="5174717" y="4667250"/>
          <a:ext cx="2078038" cy="19136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55563</xdr:colOff>
      <xdr:row>1</xdr:row>
      <xdr:rowOff>79377</xdr:rowOff>
    </xdr:from>
    <xdr:to>
      <xdr:col>5</xdr:col>
      <xdr:colOff>148593</xdr:colOff>
      <xdr:row>3</xdr:row>
      <xdr:rowOff>147640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5F882783-6310-38EB-4795-5EF32A329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8" y="269877"/>
          <a:ext cx="1386843" cy="457201"/>
        </a:xfrm>
        <a:prstGeom prst="rect">
          <a:avLst/>
        </a:prstGeom>
      </xdr:spPr>
    </xdr:pic>
    <xdr:clientData/>
  </xdr:twoCellAnchor>
  <xdr:twoCellAnchor editAs="absolute">
    <xdr:from>
      <xdr:col>1</xdr:col>
      <xdr:colOff>21166</xdr:colOff>
      <xdr:row>26</xdr:row>
      <xdr:rowOff>63500</xdr:rowOff>
    </xdr:from>
    <xdr:to>
      <xdr:col>7</xdr:col>
      <xdr:colOff>423334</xdr:colOff>
      <xdr:row>27</xdr:row>
      <xdr:rowOff>185206</xdr:rowOff>
    </xdr:to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28FF1DF0-ABEA-8343-B467-B8E22E70ED2B}"/>
            </a:ext>
          </a:extLst>
        </xdr:cNvPr>
        <xdr:cNvSpPr/>
      </xdr:nvSpPr>
      <xdr:spPr>
        <a:xfrm>
          <a:off x="592666" y="4900083"/>
          <a:ext cx="2667001" cy="19579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63501</xdr:colOff>
      <xdr:row>27</xdr:row>
      <xdr:rowOff>0</xdr:rowOff>
    </xdr:from>
    <xdr:to>
      <xdr:col>13</xdr:col>
      <xdr:colOff>3706</xdr:colOff>
      <xdr:row>28</xdr:row>
      <xdr:rowOff>10583</xdr:rowOff>
    </xdr:to>
    <xdr:sp macro="" textlink="">
      <xdr:nvSpPr>
        <xdr:cNvPr id="59" name="Shape 19">
          <a:extLst>
            <a:ext uri="{FF2B5EF4-FFF2-40B4-BE49-F238E27FC236}">
              <a16:creationId xmlns:a16="http://schemas.microsoft.com/office/drawing/2014/main" id="{9F1D6045-4A05-3F45-8599-54D23EDE16D1}"/>
            </a:ext>
          </a:extLst>
        </xdr:cNvPr>
        <xdr:cNvSpPr/>
      </xdr:nvSpPr>
      <xdr:spPr>
        <a:xfrm>
          <a:off x="3429001" y="4910667"/>
          <a:ext cx="1562630" cy="20108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74084</xdr:colOff>
      <xdr:row>27</xdr:row>
      <xdr:rowOff>0</xdr:rowOff>
    </xdr:from>
    <xdr:to>
      <xdr:col>19</xdr:col>
      <xdr:colOff>24872</xdr:colOff>
      <xdr:row>28</xdr:row>
      <xdr:rowOff>862</xdr:rowOff>
    </xdr:to>
    <xdr:sp macro="" textlink="">
      <xdr:nvSpPr>
        <xdr:cNvPr id="60" name="Shape 19">
          <a:extLst>
            <a:ext uri="{FF2B5EF4-FFF2-40B4-BE49-F238E27FC236}">
              <a16:creationId xmlns:a16="http://schemas.microsoft.com/office/drawing/2014/main" id="{8EDA7720-EC66-A64A-B78B-0B4C7EAF7C8D}"/>
            </a:ext>
          </a:extLst>
        </xdr:cNvPr>
        <xdr:cNvSpPr/>
      </xdr:nvSpPr>
      <xdr:spPr>
        <a:xfrm>
          <a:off x="5175251" y="4910667"/>
          <a:ext cx="2078038" cy="19136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500063</xdr:colOff>
      <xdr:row>53</xdr:row>
      <xdr:rowOff>174625</xdr:rowOff>
    </xdr:from>
    <xdr:to>
      <xdr:col>19</xdr:col>
      <xdr:colOff>113770</xdr:colOff>
      <xdr:row>60</xdr:row>
      <xdr:rowOff>135776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B7CA0A-9AE1-4972-BE6C-D17C287055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6"/>
        <a:stretch/>
      </xdr:blipFill>
      <xdr:spPr>
        <a:xfrm>
          <a:off x="500063" y="9181465"/>
          <a:ext cx="6067847" cy="124893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97020</xdr:colOff>
      <xdr:row>12</xdr:row>
      <xdr:rowOff>36880</xdr:rowOff>
    </xdr:from>
    <xdr:to>
      <xdr:col>12</xdr:col>
      <xdr:colOff>212907</xdr:colOff>
      <xdr:row>13</xdr:row>
      <xdr:rowOff>1357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5A3A335-808A-48DD-BFA9-BCCD7E815479}"/>
            </a:ext>
          </a:extLst>
        </xdr:cNvPr>
        <xdr:cNvSpPr/>
      </xdr:nvSpPr>
      <xdr:spPr>
        <a:xfrm>
          <a:off x="2613525" y="2627680"/>
          <a:ext cx="1740852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LICENCIA</a:t>
          </a:r>
        </a:p>
      </xdr:txBody>
    </xdr:sp>
    <xdr:clientData/>
  </xdr:twoCellAnchor>
  <xdr:twoCellAnchor editAs="absolute">
    <xdr:from>
      <xdr:col>15</xdr:col>
      <xdr:colOff>500</xdr:colOff>
      <xdr:row>12</xdr:row>
      <xdr:rowOff>36880</xdr:rowOff>
    </xdr:from>
    <xdr:to>
      <xdr:col>18</xdr:col>
      <xdr:colOff>345305</xdr:colOff>
      <xdr:row>13</xdr:row>
      <xdr:rowOff>1357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2DA0B30-2488-496A-9501-C308E4128733}"/>
            </a:ext>
          </a:extLst>
        </xdr:cNvPr>
        <xdr:cNvSpPr/>
      </xdr:nvSpPr>
      <xdr:spPr>
        <a:xfrm>
          <a:off x="4644890" y="2627680"/>
          <a:ext cx="1720215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AUSENCIA</a:t>
          </a:r>
        </a:p>
      </xdr:txBody>
    </xdr:sp>
    <xdr:clientData/>
  </xdr:twoCellAnchor>
  <xdr:twoCellAnchor editAs="absolute">
    <xdr:from>
      <xdr:col>1</xdr:col>
      <xdr:colOff>360998</xdr:colOff>
      <xdr:row>17</xdr:row>
      <xdr:rowOff>2007</xdr:rowOff>
    </xdr:from>
    <xdr:to>
      <xdr:col>7</xdr:col>
      <xdr:colOff>74160</xdr:colOff>
      <xdr:row>18</xdr:row>
      <xdr:rowOff>542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FE98E67-C4E2-4FDE-9061-0570D475F0AB}"/>
            </a:ext>
          </a:extLst>
        </xdr:cNvPr>
        <xdr:cNvSpPr/>
      </xdr:nvSpPr>
      <xdr:spPr>
        <a:xfrm>
          <a:off x="867728" y="3552927"/>
          <a:ext cx="1736272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DETALLES:</a:t>
          </a:r>
        </a:p>
      </xdr:txBody>
    </xdr:sp>
    <xdr:clientData/>
  </xdr:twoCellAnchor>
  <xdr:twoCellAnchor editAs="absolute">
    <xdr:from>
      <xdr:col>7</xdr:col>
      <xdr:colOff>365625</xdr:colOff>
      <xdr:row>17</xdr:row>
      <xdr:rowOff>407</xdr:rowOff>
    </xdr:from>
    <xdr:to>
      <xdr:col>15</xdr:col>
      <xdr:colOff>2405</xdr:colOff>
      <xdr:row>17</xdr:row>
      <xdr:rowOff>191042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F7D6BE4D-4A9E-4AC6-B1BC-389D2EC678C8}"/>
            </a:ext>
          </a:extLst>
        </xdr:cNvPr>
        <xdr:cNvSpPr/>
      </xdr:nvSpPr>
      <xdr:spPr>
        <a:xfrm>
          <a:off x="2899275" y="3549422"/>
          <a:ext cx="1758950" cy="192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HABERES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15</xdr:col>
      <xdr:colOff>2405</xdr:colOff>
      <xdr:row>17</xdr:row>
      <xdr:rowOff>2008</xdr:rowOff>
    </xdr:from>
    <xdr:to>
      <xdr:col>18</xdr:col>
      <xdr:colOff>358640</xdr:colOff>
      <xdr:row>18</xdr:row>
      <xdr:rowOff>543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11057DF7-749E-4E4F-9279-37F905EB7D61}"/>
            </a:ext>
          </a:extLst>
        </xdr:cNvPr>
        <xdr:cNvSpPr/>
      </xdr:nvSpPr>
      <xdr:spPr>
        <a:xfrm>
          <a:off x="4658225" y="3552928"/>
          <a:ext cx="1716405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DESCUENTO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</xdr:col>
      <xdr:colOff>0</xdr:colOff>
      <xdr:row>21</xdr:row>
      <xdr:rowOff>184</xdr:rowOff>
    </xdr:from>
    <xdr:to>
      <xdr:col>7</xdr:col>
      <xdr:colOff>437062</xdr:colOff>
      <xdr:row>22</xdr:row>
      <xdr:rowOff>2271</xdr:rowOff>
    </xdr:to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E1ED98FD-852C-495C-9C99-96F8F5719B49}"/>
            </a:ext>
          </a:extLst>
        </xdr:cNvPr>
        <xdr:cNvSpPr/>
      </xdr:nvSpPr>
      <xdr:spPr>
        <a:xfrm>
          <a:off x="510540" y="4267384"/>
          <a:ext cx="2460172" cy="20020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18488</xdr:colOff>
      <xdr:row>21</xdr:row>
      <xdr:rowOff>3542</xdr:rowOff>
    </xdr:from>
    <xdr:to>
      <xdr:col>13</xdr:col>
      <xdr:colOff>18595</xdr:colOff>
      <xdr:row>22</xdr:row>
      <xdr:rowOff>17141</xdr:rowOff>
    </xdr:to>
    <xdr:sp macro="" textlink="">
      <xdr:nvSpPr>
        <xdr:cNvPr id="9" name="Shape 19">
          <a:extLst>
            <a:ext uri="{FF2B5EF4-FFF2-40B4-BE49-F238E27FC236}">
              <a16:creationId xmlns:a16="http://schemas.microsoft.com/office/drawing/2014/main" id="{CB04A4E6-4833-4A47-BEDB-91D7CF2837CD}"/>
            </a:ext>
          </a:extLst>
        </xdr:cNvPr>
        <xdr:cNvSpPr/>
      </xdr:nvSpPr>
      <xdr:spPr>
        <a:xfrm>
          <a:off x="3131258" y="4270742"/>
          <a:ext cx="1362182" cy="20028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58386</xdr:colOff>
      <xdr:row>21</xdr:row>
      <xdr:rowOff>184</xdr:rowOff>
    </xdr:from>
    <xdr:to>
      <xdr:col>19</xdr:col>
      <xdr:colOff>18382</xdr:colOff>
      <xdr:row>22</xdr:row>
      <xdr:rowOff>2190</xdr:rowOff>
    </xdr:to>
    <xdr:sp macro="" textlink="">
      <xdr:nvSpPr>
        <xdr:cNvPr id="10" name="Shape 19">
          <a:extLst>
            <a:ext uri="{FF2B5EF4-FFF2-40B4-BE49-F238E27FC236}">
              <a16:creationId xmlns:a16="http://schemas.microsoft.com/office/drawing/2014/main" id="{7902E4FB-0456-4561-8430-3BFF248D9757}"/>
            </a:ext>
          </a:extLst>
        </xdr:cNvPr>
        <xdr:cNvSpPr/>
      </xdr:nvSpPr>
      <xdr:spPr>
        <a:xfrm>
          <a:off x="4618956" y="4267384"/>
          <a:ext cx="1849756" cy="2001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23</xdr:row>
      <xdr:rowOff>853</xdr:rowOff>
    </xdr:from>
    <xdr:to>
      <xdr:col>7</xdr:col>
      <xdr:colOff>437062</xdr:colOff>
      <xdr:row>24</xdr:row>
      <xdr:rowOff>1796</xdr:rowOff>
    </xdr:to>
    <xdr:sp macro="" textlink="">
      <xdr:nvSpPr>
        <xdr:cNvPr id="11" name="Shape 19">
          <a:extLst>
            <a:ext uri="{FF2B5EF4-FFF2-40B4-BE49-F238E27FC236}">
              <a16:creationId xmlns:a16="http://schemas.microsoft.com/office/drawing/2014/main" id="{8A6AC521-7192-4BEB-B548-8D6BD644F1A6}"/>
            </a:ext>
          </a:extLst>
        </xdr:cNvPr>
        <xdr:cNvSpPr/>
      </xdr:nvSpPr>
      <xdr:spPr>
        <a:xfrm>
          <a:off x="510540" y="4519513"/>
          <a:ext cx="2460172" cy="1990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79979</xdr:colOff>
      <xdr:row>23</xdr:row>
      <xdr:rowOff>3541</xdr:rowOff>
    </xdr:from>
    <xdr:to>
      <xdr:col>13</xdr:col>
      <xdr:colOff>18702</xdr:colOff>
      <xdr:row>24</xdr:row>
      <xdr:rowOff>16666</xdr:rowOff>
    </xdr:to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4FC0C571-F163-42B8-981E-DFA7B15F0945}"/>
            </a:ext>
          </a:extLst>
        </xdr:cNvPr>
        <xdr:cNvSpPr/>
      </xdr:nvSpPr>
      <xdr:spPr>
        <a:xfrm>
          <a:off x="3089879" y="4522201"/>
          <a:ext cx="1390333" cy="19981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74367</xdr:colOff>
      <xdr:row>23</xdr:row>
      <xdr:rowOff>853</xdr:rowOff>
    </xdr:from>
    <xdr:to>
      <xdr:col>19</xdr:col>
      <xdr:colOff>21345</xdr:colOff>
      <xdr:row>24</xdr:row>
      <xdr:rowOff>1715</xdr:rowOff>
    </xdr:to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A1368BE1-2A2D-481D-A525-4A0AC2CCD397}"/>
            </a:ext>
          </a:extLst>
        </xdr:cNvPr>
        <xdr:cNvSpPr/>
      </xdr:nvSpPr>
      <xdr:spPr>
        <a:xfrm>
          <a:off x="4631127" y="4519513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16195</xdr:colOff>
      <xdr:row>35</xdr:row>
      <xdr:rowOff>20818</xdr:rowOff>
    </xdr:from>
    <xdr:to>
      <xdr:col>8</xdr:col>
      <xdr:colOff>1137</xdr:colOff>
      <xdr:row>36</xdr:row>
      <xdr:rowOff>17058</xdr:rowOff>
    </xdr:to>
    <xdr:sp macro="" textlink="">
      <xdr:nvSpPr>
        <xdr:cNvPr id="14" name="Shape 19">
          <a:extLst>
            <a:ext uri="{FF2B5EF4-FFF2-40B4-BE49-F238E27FC236}">
              <a16:creationId xmlns:a16="http://schemas.microsoft.com/office/drawing/2014/main" id="{556BFF84-6A21-4D95-9D09-EDBD9EE72032}"/>
            </a:ext>
          </a:extLst>
        </xdr:cNvPr>
        <xdr:cNvSpPr/>
      </xdr:nvSpPr>
      <xdr:spPr>
        <a:xfrm>
          <a:off x="534355" y="6351133"/>
          <a:ext cx="2467157" cy="19626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19549</xdr:colOff>
      <xdr:row>35</xdr:row>
      <xdr:rowOff>3117</xdr:rowOff>
    </xdr:from>
    <xdr:to>
      <xdr:col>13</xdr:col>
      <xdr:colOff>37012</xdr:colOff>
      <xdr:row>35</xdr:row>
      <xdr:rowOff>191602</xdr:rowOff>
    </xdr:to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717DC838-AA97-4DA9-B884-446AE8E5BD21}"/>
            </a:ext>
          </a:extLst>
        </xdr:cNvPr>
        <xdr:cNvSpPr/>
      </xdr:nvSpPr>
      <xdr:spPr>
        <a:xfrm>
          <a:off x="3118984" y="6304857"/>
          <a:ext cx="1383348" cy="18848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39791</xdr:colOff>
      <xdr:row>35</xdr:row>
      <xdr:rowOff>16932</xdr:rowOff>
    </xdr:from>
    <xdr:to>
      <xdr:col>19</xdr:col>
      <xdr:colOff>56269</xdr:colOff>
      <xdr:row>36</xdr:row>
      <xdr:rowOff>44</xdr:rowOff>
    </xdr:to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9D4610F0-7BBE-4715-80DF-38B6F723E87A}"/>
            </a:ext>
          </a:extLst>
        </xdr:cNvPr>
        <xdr:cNvSpPr/>
      </xdr:nvSpPr>
      <xdr:spPr>
        <a:xfrm>
          <a:off x="4695611" y="6311052"/>
          <a:ext cx="1824323" cy="188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16193</xdr:colOff>
      <xdr:row>36</xdr:row>
      <xdr:rowOff>58298</xdr:rowOff>
    </xdr:from>
    <xdr:to>
      <xdr:col>8</xdr:col>
      <xdr:colOff>1135</xdr:colOff>
      <xdr:row>37</xdr:row>
      <xdr:rowOff>173726</xdr:rowOff>
    </xdr:to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E2B566DF-37C0-49A0-A6F1-7BA0A2719414}"/>
            </a:ext>
          </a:extLst>
        </xdr:cNvPr>
        <xdr:cNvSpPr/>
      </xdr:nvSpPr>
      <xdr:spPr>
        <a:xfrm>
          <a:off x="522923" y="6554348"/>
          <a:ext cx="2482397" cy="199248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76</xdr:colOff>
      <xdr:row>36</xdr:row>
      <xdr:rowOff>75933</xdr:rowOff>
    </xdr:from>
    <xdr:to>
      <xdr:col>13</xdr:col>
      <xdr:colOff>3781</xdr:colOff>
      <xdr:row>37</xdr:row>
      <xdr:rowOff>190585</xdr:rowOff>
    </xdr:to>
    <xdr:sp macro="" textlink="">
      <xdr:nvSpPr>
        <xdr:cNvPr id="18" name="Shape 19">
          <a:extLst>
            <a:ext uri="{FF2B5EF4-FFF2-40B4-BE49-F238E27FC236}">
              <a16:creationId xmlns:a16="http://schemas.microsoft.com/office/drawing/2014/main" id="{AA3C55E6-3A58-4CCE-A541-E82B057E2E22}"/>
            </a:ext>
          </a:extLst>
        </xdr:cNvPr>
        <xdr:cNvSpPr/>
      </xdr:nvSpPr>
      <xdr:spPr>
        <a:xfrm>
          <a:off x="3109036" y="6575793"/>
          <a:ext cx="1360065" cy="190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2540</xdr:colOff>
      <xdr:row>37</xdr:row>
      <xdr:rowOff>16932</xdr:rowOff>
    </xdr:from>
    <xdr:to>
      <xdr:col>19</xdr:col>
      <xdr:colOff>56273</xdr:colOff>
      <xdr:row>37</xdr:row>
      <xdr:rowOff>188995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895FCAEE-28CF-41E7-860C-999C03797973}"/>
            </a:ext>
          </a:extLst>
        </xdr:cNvPr>
        <xdr:cNvSpPr/>
      </xdr:nvSpPr>
      <xdr:spPr>
        <a:xfrm>
          <a:off x="4658360" y="6589182"/>
          <a:ext cx="1861578" cy="17587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21273</xdr:colOff>
      <xdr:row>39</xdr:row>
      <xdr:rowOff>1879</xdr:rowOff>
    </xdr:from>
    <xdr:to>
      <xdr:col>8</xdr:col>
      <xdr:colOff>15740</xdr:colOff>
      <xdr:row>39</xdr:row>
      <xdr:rowOff>175032</xdr:rowOff>
    </xdr:to>
    <xdr:sp macro="" textlink="">
      <xdr:nvSpPr>
        <xdr:cNvPr id="20" name="Shape 19">
          <a:extLst>
            <a:ext uri="{FF2B5EF4-FFF2-40B4-BE49-F238E27FC236}">
              <a16:creationId xmlns:a16="http://schemas.microsoft.com/office/drawing/2014/main" id="{09743645-9472-4D1F-80F1-1F6489FBB4E0}"/>
            </a:ext>
          </a:extLst>
        </xdr:cNvPr>
        <xdr:cNvSpPr/>
      </xdr:nvSpPr>
      <xdr:spPr>
        <a:xfrm>
          <a:off x="535623" y="6817969"/>
          <a:ext cx="2482397" cy="19982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17326</xdr:colOff>
      <xdr:row>39</xdr:row>
      <xdr:rowOff>17967</xdr:rowOff>
    </xdr:from>
    <xdr:to>
      <xdr:col>13</xdr:col>
      <xdr:colOff>53658</xdr:colOff>
      <xdr:row>40</xdr:row>
      <xdr:rowOff>17886</xdr:rowOff>
    </xdr:to>
    <xdr:sp macro="" textlink="">
      <xdr:nvSpPr>
        <xdr:cNvPr id="21" name="Shape 19">
          <a:extLst>
            <a:ext uri="{FF2B5EF4-FFF2-40B4-BE49-F238E27FC236}">
              <a16:creationId xmlns:a16="http://schemas.microsoft.com/office/drawing/2014/main" id="{C6F0E30B-05C2-4C99-AEB9-D2AA3B3FDD46}"/>
            </a:ext>
          </a:extLst>
        </xdr:cNvPr>
        <xdr:cNvSpPr/>
      </xdr:nvSpPr>
      <xdr:spPr>
        <a:xfrm>
          <a:off x="3135811" y="6862632"/>
          <a:ext cx="1371737" cy="19422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2965</xdr:colOff>
      <xdr:row>39</xdr:row>
      <xdr:rowOff>15427</xdr:rowOff>
    </xdr:from>
    <xdr:to>
      <xdr:col>19</xdr:col>
      <xdr:colOff>93843</xdr:colOff>
      <xdr:row>40</xdr:row>
      <xdr:rowOff>20531</xdr:rowOff>
    </xdr:to>
    <xdr:sp macro="" textlink="">
      <xdr:nvSpPr>
        <xdr:cNvPr id="22" name="Shape 19">
          <a:extLst>
            <a:ext uri="{FF2B5EF4-FFF2-40B4-BE49-F238E27FC236}">
              <a16:creationId xmlns:a16="http://schemas.microsoft.com/office/drawing/2014/main" id="{BFC45DFB-32F0-4282-9F55-970598751A3C}"/>
            </a:ext>
          </a:extLst>
        </xdr:cNvPr>
        <xdr:cNvSpPr/>
      </xdr:nvSpPr>
      <xdr:spPr>
        <a:xfrm>
          <a:off x="4654975" y="6842947"/>
          <a:ext cx="1889198" cy="19369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16195</xdr:colOff>
      <xdr:row>41</xdr:row>
      <xdr:rowOff>15652</xdr:rowOff>
    </xdr:from>
    <xdr:to>
      <xdr:col>8</xdr:col>
      <xdr:colOff>502</xdr:colOff>
      <xdr:row>42</xdr:row>
      <xdr:rowOff>20422</xdr:rowOff>
    </xdr:to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F725F9D4-E9A6-4BCE-B796-7CAB74C784EE}"/>
            </a:ext>
          </a:extLst>
        </xdr:cNvPr>
        <xdr:cNvSpPr/>
      </xdr:nvSpPr>
      <xdr:spPr>
        <a:xfrm>
          <a:off x="530545" y="7106062"/>
          <a:ext cx="2479857" cy="2105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22724</xdr:colOff>
      <xdr:row>41</xdr:row>
      <xdr:rowOff>15924</xdr:rowOff>
    </xdr:from>
    <xdr:to>
      <xdr:col>13</xdr:col>
      <xdr:colOff>54792</xdr:colOff>
      <xdr:row>42</xdr:row>
      <xdr:rowOff>20158</xdr:rowOff>
    </xdr:to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E74D8A41-09D2-477E-8BDB-2836E4132726}"/>
            </a:ext>
          </a:extLst>
        </xdr:cNvPr>
        <xdr:cNvSpPr/>
      </xdr:nvSpPr>
      <xdr:spPr>
        <a:xfrm>
          <a:off x="3143114" y="7121574"/>
          <a:ext cx="1380808" cy="18901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1028</xdr:colOff>
      <xdr:row>41</xdr:row>
      <xdr:rowOff>16711</xdr:rowOff>
    </xdr:from>
    <xdr:to>
      <xdr:col>19</xdr:col>
      <xdr:colOff>54368</xdr:colOff>
      <xdr:row>42</xdr:row>
      <xdr:rowOff>15897</xdr:rowOff>
    </xdr:to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84BF8E99-6F99-4C88-8E9D-C61800DE95F7}"/>
            </a:ext>
          </a:extLst>
        </xdr:cNvPr>
        <xdr:cNvSpPr/>
      </xdr:nvSpPr>
      <xdr:spPr>
        <a:xfrm>
          <a:off x="4643513" y="7107121"/>
          <a:ext cx="1868805" cy="2049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18098</xdr:colOff>
      <xdr:row>44</xdr:row>
      <xdr:rowOff>59034</xdr:rowOff>
    </xdr:from>
    <xdr:to>
      <xdr:col>13</xdr:col>
      <xdr:colOff>58421</xdr:colOff>
      <xdr:row>46</xdr:row>
      <xdr:rowOff>22062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A057DF9B-1707-4BFB-B7C2-87895AF94F41}"/>
            </a:ext>
          </a:extLst>
        </xdr:cNvPr>
        <xdr:cNvSpPr/>
      </xdr:nvSpPr>
      <xdr:spPr>
        <a:xfrm>
          <a:off x="3140393" y="7652364"/>
          <a:ext cx="1373823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15</xdr:col>
      <xdr:colOff>39336</xdr:colOff>
      <xdr:row>44</xdr:row>
      <xdr:rowOff>57976</xdr:rowOff>
    </xdr:from>
    <xdr:to>
      <xdr:col>19</xdr:col>
      <xdr:colOff>95353</xdr:colOff>
      <xdr:row>46</xdr:row>
      <xdr:rowOff>15289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1ABE4BB2-1298-433A-A121-6BC5E160842A}"/>
            </a:ext>
          </a:extLst>
        </xdr:cNvPr>
        <xdr:cNvSpPr/>
      </xdr:nvSpPr>
      <xdr:spPr>
        <a:xfrm>
          <a:off x="4695156" y="7641781"/>
          <a:ext cx="1841002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54096</xdr:colOff>
      <xdr:row>47</xdr:row>
      <xdr:rowOff>39934</xdr:rowOff>
    </xdr:from>
    <xdr:to>
      <xdr:col>7</xdr:col>
      <xdr:colOff>283209</xdr:colOff>
      <xdr:row>48</xdr:row>
      <xdr:rowOff>92709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7C40502E-69A4-4F46-8739-69E2F2DFF3C7}"/>
            </a:ext>
          </a:extLst>
        </xdr:cNvPr>
        <xdr:cNvSpPr/>
      </xdr:nvSpPr>
      <xdr:spPr>
        <a:xfrm>
          <a:off x="560826" y="7987594"/>
          <a:ext cx="2248413" cy="231845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58541</xdr:colOff>
      <xdr:row>44</xdr:row>
      <xdr:rowOff>58954</xdr:rowOff>
    </xdr:from>
    <xdr:to>
      <xdr:col>7</xdr:col>
      <xdr:colOff>266700</xdr:colOff>
      <xdr:row>46</xdr:row>
      <xdr:rowOff>18415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E714A87F-BBF7-4337-B402-827FA709EFC7}"/>
            </a:ext>
          </a:extLst>
        </xdr:cNvPr>
        <xdr:cNvSpPr/>
      </xdr:nvSpPr>
      <xdr:spPr>
        <a:xfrm>
          <a:off x="559556" y="7659904"/>
          <a:ext cx="2236984" cy="235686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400"/>
        </a:p>
      </xdr:txBody>
    </xdr:sp>
    <xdr:clientData/>
  </xdr:twoCellAnchor>
  <xdr:twoCellAnchor editAs="absolute">
    <xdr:from>
      <xdr:col>1</xdr:col>
      <xdr:colOff>95250</xdr:colOff>
      <xdr:row>44</xdr:row>
      <xdr:rowOff>94053</xdr:rowOff>
    </xdr:from>
    <xdr:to>
      <xdr:col>6</xdr:col>
      <xdr:colOff>1678</xdr:colOff>
      <xdr:row>46</xdr:row>
      <xdr:rowOff>22785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A516F2ED-0C95-4970-BC21-D7FE3E6524A3}"/>
            </a:ext>
          </a:extLst>
        </xdr:cNvPr>
        <xdr:cNvSpPr/>
      </xdr:nvSpPr>
      <xdr:spPr>
        <a:xfrm>
          <a:off x="596265" y="7704528"/>
          <a:ext cx="1840003" cy="185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TOTALES:</a:t>
          </a:r>
        </a:p>
      </xdr:txBody>
    </xdr:sp>
    <xdr:clientData/>
  </xdr:twoCellAnchor>
  <xdr:twoCellAnchor editAs="absolute">
    <xdr:from>
      <xdr:col>1</xdr:col>
      <xdr:colOff>39371</xdr:colOff>
      <xdr:row>47</xdr:row>
      <xdr:rowOff>59527</xdr:rowOff>
    </xdr:from>
    <xdr:to>
      <xdr:col>5</xdr:col>
      <xdr:colOff>549684</xdr:colOff>
      <xdr:row>48</xdr:row>
      <xdr:rowOff>59386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6CC7288B-6F8C-4E31-B314-9BA929A450D7}"/>
            </a:ext>
          </a:extLst>
        </xdr:cNvPr>
        <xdr:cNvSpPr/>
      </xdr:nvSpPr>
      <xdr:spPr>
        <a:xfrm>
          <a:off x="549911" y="8010997"/>
          <a:ext cx="1840003" cy="1751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 A PAGAR:</a:t>
          </a:r>
        </a:p>
      </xdr:txBody>
    </xdr:sp>
    <xdr:clientData/>
  </xdr:twoCellAnchor>
  <xdr:twoCellAnchor editAs="absolute">
    <xdr:from>
      <xdr:col>9</xdr:col>
      <xdr:colOff>19897</xdr:colOff>
      <xdr:row>47</xdr:row>
      <xdr:rowOff>9027</xdr:rowOff>
    </xdr:from>
    <xdr:to>
      <xdr:col>19</xdr:col>
      <xdr:colOff>72390</xdr:colOff>
      <xdr:row>48</xdr:row>
      <xdr:rowOff>41907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EC898F91-ADCA-4D34-841D-A2EB49B745F1}"/>
            </a:ext>
          </a:extLst>
        </xdr:cNvPr>
        <xdr:cNvSpPr/>
      </xdr:nvSpPr>
      <xdr:spPr>
        <a:xfrm>
          <a:off x="3125047" y="7762377"/>
          <a:ext cx="3386243" cy="21703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-=</a:t>
          </a:r>
        </a:p>
      </xdr:txBody>
    </xdr:sp>
    <xdr:clientData/>
  </xdr:twoCellAnchor>
  <xdr:twoCellAnchor editAs="absolute">
    <xdr:from>
      <xdr:col>1</xdr:col>
      <xdr:colOff>1838</xdr:colOff>
      <xdr:row>7</xdr:row>
      <xdr:rowOff>20828</xdr:rowOff>
    </xdr:from>
    <xdr:to>
      <xdr:col>2</xdr:col>
      <xdr:colOff>34290</xdr:colOff>
      <xdr:row>8</xdr:row>
      <xdr:rowOff>3201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12A122D8-0E38-4D4C-BDC4-0739BB63CCB8}"/>
            </a:ext>
          </a:extLst>
        </xdr:cNvPr>
        <xdr:cNvSpPr/>
      </xdr:nvSpPr>
      <xdr:spPr>
        <a:xfrm>
          <a:off x="512378" y="1409573"/>
          <a:ext cx="520132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1837</xdr:colOff>
      <xdr:row>8</xdr:row>
      <xdr:rowOff>56198</xdr:rowOff>
    </xdr:from>
    <xdr:to>
      <xdr:col>3</xdr:col>
      <xdr:colOff>93662</xdr:colOff>
      <xdr:row>8</xdr:row>
      <xdr:rowOff>173831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CBDB5C6C-4968-4877-8AC3-6EE9DD650B6D}"/>
            </a:ext>
          </a:extLst>
        </xdr:cNvPr>
        <xdr:cNvSpPr/>
      </xdr:nvSpPr>
      <xdr:spPr>
        <a:xfrm>
          <a:off x="512377" y="1675448"/>
          <a:ext cx="771910" cy="13287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NOMBRE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1838</xdr:colOff>
      <xdr:row>9</xdr:row>
      <xdr:rowOff>55731</xdr:rowOff>
    </xdr:from>
    <xdr:to>
      <xdr:col>5</xdr:col>
      <xdr:colOff>96066</xdr:colOff>
      <xdr:row>10</xdr:row>
      <xdr:rowOff>3602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282A955D-3F6E-42D4-97F3-92F768E96E2B}"/>
            </a:ext>
          </a:extLst>
        </xdr:cNvPr>
        <xdr:cNvSpPr/>
      </xdr:nvSpPr>
      <xdr:spPr>
        <a:xfrm>
          <a:off x="512378" y="1894056"/>
          <a:ext cx="1416298" cy="15170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FECHA DE INGRESO:</a:t>
          </a:r>
        </a:p>
      </xdr:txBody>
    </xdr:sp>
    <xdr:clientData/>
  </xdr:twoCellAnchor>
  <xdr:twoCellAnchor editAs="absolute">
    <xdr:from>
      <xdr:col>1</xdr:col>
      <xdr:colOff>1838</xdr:colOff>
      <xdr:row>10</xdr:row>
      <xdr:rowOff>54932</xdr:rowOff>
    </xdr:from>
    <xdr:to>
      <xdr:col>3</xdr:col>
      <xdr:colOff>2993</xdr:colOff>
      <xdr:row>11</xdr:row>
      <xdr:rowOff>1110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CF2A9344-8797-48CD-A4FC-FC0C2173F822}"/>
            </a:ext>
          </a:extLst>
        </xdr:cNvPr>
        <xdr:cNvSpPr/>
      </xdr:nvSpPr>
      <xdr:spPr>
        <a:xfrm>
          <a:off x="512378" y="2093282"/>
          <a:ext cx="671715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CARGO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15240</xdr:colOff>
      <xdr:row>12</xdr:row>
      <xdr:rowOff>17145</xdr:rowOff>
    </xdr:from>
    <xdr:to>
      <xdr:col>6</xdr:col>
      <xdr:colOff>1601</xdr:colOff>
      <xdr:row>13</xdr:row>
      <xdr:rowOff>320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63939D89-DE2F-4A05-B190-8796DF66C862}"/>
            </a:ext>
          </a:extLst>
        </xdr:cNvPr>
        <xdr:cNvSpPr/>
      </xdr:nvSpPr>
      <xdr:spPr>
        <a:xfrm>
          <a:off x="514350" y="2604135"/>
          <a:ext cx="1898981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TRABAJADOS:</a:t>
          </a:r>
        </a:p>
      </xdr:txBody>
    </xdr:sp>
    <xdr:clientData/>
  </xdr:twoCellAnchor>
  <xdr:twoCellAnchor editAs="absolute">
    <xdr:from>
      <xdr:col>7</xdr:col>
      <xdr:colOff>17962</xdr:colOff>
      <xdr:row>12</xdr:row>
      <xdr:rowOff>17145</xdr:rowOff>
    </xdr:from>
    <xdr:to>
      <xdr:col>13</xdr:col>
      <xdr:colOff>15979</xdr:colOff>
      <xdr:row>13</xdr:row>
      <xdr:rowOff>320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BBCF3688-D4FF-4D2B-B3B8-9095E50767AA}"/>
            </a:ext>
          </a:extLst>
        </xdr:cNvPr>
        <xdr:cNvSpPr/>
      </xdr:nvSpPr>
      <xdr:spPr>
        <a:xfrm>
          <a:off x="2543992" y="2604135"/>
          <a:ext cx="1925877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LICENCIA:</a:t>
          </a:r>
        </a:p>
      </xdr:txBody>
    </xdr:sp>
    <xdr:clientData/>
  </xdr:twoCellAnchor>
  <xdr:twoCellAnchor editAs="absolute">
    <xdr:from>
      <xdr:col>14</xdr:col>
      <xdr:colOff>35742</xdr:colOff>
      <xdr:row>12</xdr:row>
      <xdr:rowOff>17145</xdr:rowOff>
    </xdr:from>
    <xdr:to>
      <xdr:col>18</xdr:col>
      <xdr:colOff>416982</xdr:colOff>
      <xdr:row>13</xdr:row>
      <xdr:rowOff>320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71AC91BA-A6AD-45D3-85AE-C641CD4F777A}"/>
            </a:ext>
          </a:extLst>
        </xdr:cNvPr>
        <xdr:cNvSpPr/>
      </xdr:nvSpPr>
      <xdr:spPr>
        <a:xfrm>
          <a:off x="4592502" y="2604135"/>
          <a:ext cx="1844280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AUSENCIA:</a:t>
          </a:r>
        </a:p>
      </xdr:txBody>
    </xdr:sp>
    <xdr:clientData/>
  </xdr:twoCellAnchor>
  <xdr:twoCellAnchor editAs="absolute">
    <xdr:from>
      <xdr:col>1</xdr:col>
      <xdr:colOff>15240</xdr:colOff>
      <xdr:row>14</xdr:row>
      <xdr:rowOff>19050</xdr:rowOff>
    </xdr:from>
    <xdr:to>
      <xdr:col>6</xdr:col>
      <xdr:colOff>1601</xdr:colOff>
      <xdr:row>15</xdr:row>
      <xdr:rowOff>265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64121078-DD6D-4BFF-9807-514E1D779BC9}"/>
            </a:ext>
          </a:extLst>
        </xdr:cNvPr>
        <xdr:cNvSpPr/>
      </xdr:nvSpPr>
      <xdr:spPr>
        <a:xfrm>
          <a:off x="514350" y="2897505"/>
          <a:ext cx="1898981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7</xdr:col>
      <xdr:colOff>17962</xdr:colOff>
      <xdr:row>14</xdr:row>
      <xdr:rowOff>19050</xdr:rowOff>
    </xdr:from>
    <xdr:to>
      <xdr:col>13</xdr:col>
      <xdr:colOff>15979</xdr:colOff>
      <xdr:row>15</xdr:row>
      <xdr:rowOff>265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F72C2C3F-9CAC-4F69-BE32-F53992FA49C7}"/>
            </a:ext>
          </a:extLst>
        </xdr:cNvPr>
        <xdr:cNvSpPr/>
      </xdr:nvSpPr>
      <xdr:spPr>
        <a:xfrm>
          <a:off x="2543992" y="2897505"/>
          <a:ext cx="192587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14</xdr:col>
      <xdr:colOff>19125</xdr:colOff>
      <xdr:row>14</xdr:row>
      <xdr:rowOff>19050</xdr:rowOff>
    </xdr:from>
    <xdr:to>
      <xdr:col>18</xdr:col>
      <xdr:colOff>418887</xdr:colOff>
      <xdr:row>15</xdr:row>
      <xdr:rowOff>265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51EDE637-1CEC-4E39-853F-D987223118F7}"/>
            </a:ext>
          </a:extLst>
        </xdr:cNvPr>
        <xdr:cNvSpPr/>
      </xdr:nvSpPr>
      <xdr:spPr>
        <a:xfrm>
          <a:off x="4566360" y="2897505"/>
          <a:ext cx="187232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</xdr:col>
      <xdr:colOff>15240</xdr:colOff>
      <xdr:row>16</xdr:row>
      <xdr:rowOff>169545</xdr:rowOff>
    </xdr:from>
    <xdr:to>
      <xdr:col>7</xdr:col>
      <xdr:colOff>454207</xdr:colOff>
      <xdr:row>18</xdr:row>
      <xdr:rowOff>20850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EDF6BC76-70B7-422E-AA9F-C5084315A97A}"/>
            </a:ext>
          </a:extLst>
        </xdr:cNvPr>
        <xdr:cNvSpPr/>
      </xdr:nvSpPr>
      <xdr:spPr>
        <a:xfrm>
          <a:off x="514350" y="3547110"/>
          <a:ext cx="2469697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DETALLE:</a:t>
          </a:r>
        </a:p>
      </xdr:txBody>
    </xdr:sp>
    <xdr:clientData/>
  </xdr:twoCellAnchor>
  <xdr:twoCellAnchor editAs="absolute">
    <xdr:from>
      <xdr:col>8</xdr:col>
      <xdr:colOff>78921</xdr:colOff>
      <xdr:row>16</xdr:row>
      <xdr:rowOff>169545</xdr:rowOff>
    </xdr:from>
    <xdr:to>
      <xdr:col>13</xdr:col>
      <xdr:colOff>1607</xdr:colOff>
      <xdr:row>18</xdr:row>
      <xdr:rowOff>20850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2A842B3E-9B0D-4010-A0C3-C8D6C9A38148}"/>
            </a:ext>
          </a:extLst>
        </xdr:cNvPr>
        <xdr:cNvSpPr/>
      </xdr:nvSpPr>
      <xdr:spPr>
        <a:xfrm>
          <a:off x="3088821" y="3547110"/>
          <a:ext cx="1378106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HABERES:</a:t>
          </a:r>
        </a:p>
      </xdr:txBody>
    </xdr:sp>
    <xdr:clientData/>
  </xdr:twoCellAnchor>
  <xdr:twoCellAnchor editAs="absolute">
    <xdr:from>
      <xdr:col>14</xdr:col>
      <xdr:colOff>1980</xdr:colOff>
      <xdr:row>16</xdr:row>
      <xdr:rowOff>169545</xdr:rowOff>
    </xdr:from>
    <xdr:to>
      <xdr:col>19</xdr:col>
      <xdr:colOff>921</xdr:colOff>
      <xdr:row>18</xdr:row>
      <xdr:rowOff>20850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3CAACFDB-68A7-412F-825E-3E700F34D1D9}"/>
            </a:ext>
          </a:extLst>
        </xdr:cNvPr>
        <xdr:cNvSpPr/>
      </xdr:nvSpPr>
      <xdr:spPr>
        <a:xfrm>
          <a:off x="4558740" y="3547110"/>
          <a:ext cx="1896321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DESCUENTO:</a:t>
          </a:r>
        </a:p>
      </xdr:txBody>
    </xdr:sp>
    <xdr:clientData/>
  </xdr:twoCellAnchor>
  <xdr:twoCellAnchor editAs="absolute">
    <xdr:from>
      <xdr:col>10</xdr:col>
      <xdr:colOff>110634</xdr:colOff>
      <xdr:row>7</xdr:row>
      <xdr:rowOff>20828</xdr:rowOff>
    </xdr:from>
    <xdr:to>
      <xdr:col>15</xdr:col>
      <xdr:colOff>3514</xdr:colOff>
      <xdr:row>8</xdr:row>
      <xdr:rowOff>3201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2F6B3287-512B-4667-AB10-0BAF28EF16B4}"/>
            </a:ext>
          </a:extLst>
        </xdr:cNvPr>
        <xdr:cNvSpPr/>
      </xdr:nvSpPr>
      <xdr:spPr>
        <a:xfrm>
          <a:off x="3501534" y="1409573"/>
          <a:ext cx="1150180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RAZÓN SOCIAL: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8</xdr:row>
      <xdr:rowOff>56838</xdr:rowOff>
    </xdr:from>
    <xdr:to>
      <xdr:col>11</xdr:col>
      <xdr:colOff>472939</xdr:colOff>
      <xdr:row>9</xdr:row>
      <xdr:rowOff>1111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E68EA54A-9627-4937-989E-9D64C2E811A8}"/>
            </a:ext>
          </a:extLst>
        </xdr:cNvPr>
        <xdr:cNvSpPr/>
      </xdr:nvSpPr>
      <xdr:spPr>
        <a:xfrm>
          <a:off x="3501535" y="1693233"/>
          <a:ext cx="480414" cy="13667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9</xdr:row>
      <xdr:rowOff>60416</xdr:rowOff>
    </xdr:from>
    <xdr:to>
      <xdr:col>12</xdr:col>
      <xdr:colOff>282439</xdr:colOff>
      <xdr:row>10</xdr:row>
      <xdr:rowOff>3602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E2261C4B-7B66-4C39-8240-D06910BED4F8}"/>
            </a:ext>
          </a:extLst>
        </xdr:cNvPr>
        <xdr:cNvSpPr/>
      </xdr:nvSpPr>
      <xdr:spPr>
        <a:xfrm>
          <a:off x="3501535" y="1896836"/>
          <a:ext cx="914754" cy="14892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DIRECCIÓN:</a:t>
          </a:r>
        </a:p>
      </xdr:txBody>
    </xdr:sp>
    <xdr:clientData/>
  </xdr:twoCellAnchor>
  <xdr:twoCellAnchor editAs="absolute">
    <xdr:from>
      <xdr:col>10</xdr:col>
      <xdr:colOff>110635</xdr:colOff>
      <xdr:row>10</xdr:row>
      <xdr:rowOff>54932</xdr:rowOff>
    </xdr:from>
    <xdr:to>
      <xdr:col>11</xdr:col>
      <xdr:colOff>608194</xdr:colOff>
      <xdr:row>11</xdr:row>
      <xdr:rowOff>1110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71CCDFB1-2A86-4F00-AD59-0DE5C423905B}"/>
            </a:ext>
          </a:extLst>
        </xdr:cNvPr>
        <xdr:cNvSpPr/>
      </xdr:nvSpPr>
      <xdr:spPr>
        <a:xfrm>
          <a:off x="3501535" y="2093282"/>
          <a:ext cx="611859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EMAIL: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359797</xdr:colOff>
      <xdr:row>2</xdr:row>
      <xdr:rowOff>8245</xdr:rowOff>
    </xdr:from>
    <xdr:to>
      <xdr:col>15</xdr:col>
      <xdr:colOff>302812</xdr:colOff>
      <xdr:row>2</xdr:row>
      <xdr:rowOff>181427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0FB5787F-176D-4F59-9B59-3F61E19E9A08}"/>
            </a:ext>
          </a:extLst>
        </xdr:cNvPr>
        <xdr:cNvSpPr/>
      </xdr:nvSpPr>
      <xdr:spPr>
        <a:xfrm>
          <a:off x="1838077" y="374005"/>
          <a:ext cx="3120555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accent1">
                  <a:lumMod val="75000"/>
                </a:schemeClr>
              </a:solidFill>
            </a:rPr>
            <a:t>LIQUIDACIÓN DE SUELDO</a:t>
          </a:r>
          <a:r>
            <a:rPr lang="es-CL" sz="1400" b="1" baseline="0">
              <a:solidFill>
                <a:schemeClr val="accent1">
                  <a:lumMod val="75000"/>
                </a:schemeClr>
              </a:solidFill>
            </a:rPr>
            <a:t> MENSUAL</a:t>
          </a:r>
          <a:endParaRPr lang="es-CL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64976</xdr:colOff>
      <xdr:row>53</xdr:row>
      <xdr:rowOff>8250</xdr:rowOff>
    </xdr:from>
    <xdr:to>
      <xdr:col>18</xdr:col>
      <xdr:colOff>242662</xdr:colOff>
      <xdr:row>53</xdr:row>
      <xdr:rowOff>181432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9B449D11-477F-4640-8D08-4E51D96160BD}"/>
            </a:ext>
          </a:extLst>
        </xdr:cNvPr>
        <xdr:cNvSpPr/>
      </xdr:nvSpPr>
      <xdr:spPr>
        <a:xfrm>
          <a:off x="4720796" y="9015090"/>
          <a:ext cx="1541666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50" b="1">
              <a:solidFill>
                <a:schemeClr val="accent1">
                  <a:lumMod val="75000"/>
                </a:schemeClr>
              </a:solidFill>
              <a:latin typeface="Raleway" panose="020B0503030101060003" pitchFamily="34" charset="0"/>
            </a:rPr>
            <a:t>FIRMA TRABAJADOR</a:t>
          </a:r>
        </a:p>
      </xdr:txBody>
    </xdr:sp>
    <xdr:clientData/>
  </xdr:twoCellAnchor>
  <xdr:twoCellAnchor>
    <xdr:from>
      <xdr:col>13</xdr:col>
      <xdr:colOff>54429</xdr:colOff>
      <xdr:row>52</xdr:row>
      <xdr:rowOff>63500</xdr:rowOff>
    </xdr:from>
    <xdr:to>
      <xdr:col>18</xdr:col>
      <xdr:colOff>411159</xdr:colOff>
      <xdr:row>52</xdr:row>
      <xdr:rowOff>63500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4B071CF8-18CC-4FE2-9C46-1C11554D3D31}"/>
            </a:ext>
          </a:extLst>
        </xdr:cNvPr>
        <xdr:cNvCxnSpPr/>
      </xdr:nvCxnSpPr>
      <xdr:spPr>
        <a:xfrm>
          <a:off x="4519749" y="8887460"/>
          <a:ext cx="1911210" cy="0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20107</xdr:colOff>
      <xdr:row>25</xdr:row>
      <xdr:rowOff>19687</xdr:rowOff>
    </xdr:from>
    <xdr:to>
      <xdr:col>7</xdr:col>
      <xdr:colOff>399415</xdr:colOff>
      <xdr:row>26</xdr:row>
      <xdr:rowOff>17357</xdr:rowOff>
    </xdr:to>
    <xdr:sp macro="" textlink="">
      <xdr:nvSpPr>
        <xdr:cNvPr id="53" name="Shape 19">
          <a:extLst>
            <a:ext uri="{FF2B5EF4-FFF2-40B4-BE49-F238E27FC236}">
              <a16:creationId xmlns:a16="http://schemas.microsoft.com/office/drawing/2014/main" id="{EDC7D6DA-135A-4AB1-9F61-D6DDA456C8B5}"/>
            </a:ext>
          </a:extLst>
        </xdr:cNvPr>
        <xdr:cNvSpPr/>
      </xdr:nvSpPr>
      <xdr:spPr>
        <a:xfrm>
          <a:off x="521122" y="4785997"/>
          <a:ext cx="2421468" cy="2034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317</xdr:colOff>
      <xdr:row>25</xdr:row>
      <xdr:rowOff>16722</xdr:rowOff>
    </xdr:from>
    <xdr:to>
      <xdr:col>13</xdr:col>
      <xdr:colOff>2540</xdr:colOff>
      <xdr:row>25</xdr:row>
      <xdr:rowOff>189549</xdr:rowOff>
    </xdr:to>
    <xdr:sp macro="" textlink="">
      <xdr:nvSpPr>
        <xdr:cNvPr id="54" name="Shape 19">
          <a:extLst>
            <a:ext uri="{FF2B5EF4-FFF2-40B4-BE49-F238E27FC236}">
              <a16:creationId xmlns:a16="http://schemas.microsoft.com/office/drawing/2014/main" id="{9991E7A6-97D5-435D-A1F2-B2168AB0F180}"/>
            </a:ext>
          </a:extLst>
        </xdr:cNvPr>
        <xdr:cNvSpPr/>
      </xdr:nvSpPr>
      <xdr:spPr>
        <a:xfrm>
          <a:off x="3105467" y="4775412"/>
          <a:ext cx="1362393" cy="18425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73550</xdr:colOff>
      <xdr:row>25</xdr:row>
      <xdr:rowOff>17357</xdr:rowOff>
    </xdr:from>
    <xdr:to>
      <xdr:col>19</xdr:col>
      <xdr:colOff>20528</xdr:colOff>
      <xdr:row>26</xdr:row>
      <xdr:rowOff>18219</xdr:rowOff>
    </xdr:to>
    <xdr:sp macro="" textlink="">
      <xdr:nvSpPr>
        <xdr:cNvPr id="55" name="Shape 19">
          <a:extLst>
            <a:ext uri="{FF2B5EF4-FFF2-40B4-BE49-F238E27FC236}">
              <a16:creationId xmlns:a16="http://schemas.microsoft.com/office/drawing/2014/main" id="{54973FF8-5F1A-4A2C-84EE-CB988E0B5741}"/>
            </a:ext>
          </a:extLst>
        </xdr:cNvPr>
        <xdr:cNvSpPr/>
      </xdr:nvSpPr>
      <xdr:spPr>
        <a:xfrm>
          <a:off x="4630310" y="4791287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55563</xdr:colOff>
      <xdr:row>1</xdr:row>
      <xdr:rowOff>79377</xdr:rowOff>
    </xdr:from>
    <xdr:to>
      <xdr:col>5</xdr:col>
      <xdr:colOff>148593</xdr:colOff>
      <xdr:row>3</xdr:row>
      <xdr:rowOff>136210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A5A5788-0B97-43D4-8CDF-D228A9959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03" y="262257"/>
          <a:ext cx="1418910" cy="494983"/>
        </a:xfrm>
        <a:prstGeom prst="rect">
          <a:avLst/>
        </a:prstGeom>
      </xdr:spPr>
    </xdr:pic>
    <xdr:clientData/>
  </xdr:twoCellAnchor>
  <xdr:twoCellAnchor editAs="absolute">
    <xdr:from>
      <xdr:col>1</xdr:col>
      <xdr:colOff>17356</xdr:colOff>
      <xdr:row>26</xdr:row>
      <xdr:rowOff>59690</xdr:rowOff>
    </xdr:from>
    <xdr:to>
      <xdr:col>7</xdr:col>
      <xdr:colOff>434764</xdr:colOff>
      <xdr:row>27</xdr:row>
      <xdr:rowOff>173776</xdr:rowOff>
    </xdr:to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63B42A56-CBD0-4ACB-8571-20E60B33AD9B}"/>
            </a:ext>
          </a:extLst>
        </xdr:cNvPr>
        <xdr:cNvSpPr/>
      </xdr:nvSpPr>
      <xdr:spPr>
        <a:xfrm>
          <a:off x="531706" y="503174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59691</xdr:colOff>
      <xdr:row>27</xdr:row>
      <xdr:rowOff>0</xdr:rowOff>
    </xdr:from>
    <xdr:to>
      <xdr:col>13</xdr:col>
      <xdr:colOff>531</xdr:colOff>
      <xdr:row>28</xdr:row>
      <xdr:rowOff>20108</xdr:rowOff>
    </xdr:to>
    <xdr:sp macro="" textlink="">
      <xdr:nvSpPr>
        <xdr:cNvPr id="58" name="Shape 19">
          <a:extLst>
            <a:ext uri="{FF2B5EF4-FFF2-40B4-BE49-F238E27FC236}">
              <a16:creationId xmlns:a16="http://schemas.microsoft.com/office/drawing/2014/main" id="{1056A17F-0A11-4FE2-A7DA-AC89CB11458A}"/>
            </a:ext>
          </a:extLst>
        </xdr:cNvPr>
        <xdr:cNvSpPr/>
      </xdr:nvSpPr>
      <xdr:spPr>
        <a:xfrm>
          <a:off x="3073401" y="504444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74084</xdr:colOff>
      <xdr:row>27</xdr:row>
      <xdr:rowOff>0</xdr:rowOff>
    </xdr:from>
    <xdr:to>
      <xdr:col>19</xdr:col>
      <xdr:colOff>21062</xdr:colOff>
      <xdr:row>28</xdr:row>
      <xdr:rowOff>862</xdr:rowOff>
    </xdr:to>
    <xdr:sp macro="" textlink="">
      <xdr:nvSpPr>
        <xdr:cNvPr id="59" name="Shape 19">
          <a:extLst>
            <a:ext uri="{FF2B5EF4-FFF2-40B4-BE49-F238E27FC236}">
              <a16:creationId xmlns:a16="http://schemas.microsoft.com/office/drawing/2014/main" id="{C734151C-5786-4962-9484-19987F0890B7}"/>
            </a:ext>
          </a:extLst>
        </xdr:cNvPr>
        <xdr:cNvSpPr/>
      </xdr:nvSpPr>
      <xdr:spPr>
        <a:xfrm>
          <a:off x="4630844" y="504444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29</xdr:row>
      <xdr:rowOff>19685</xdr:rowOff>
    </xdr:from>
    <xdr:to>
      <xdr:col>7</xdr:col>
      <xdr:colOff>398358</xdr:colOff>
      <xdr:row>30</xdr:row>
      <xdr:rowOff>20741</xdr:rowOff>
    </xdr:to>
    <xdr:sp macro="" textlink="">
      <xdr:nvSpPr>
        <xdr:cNvPr id="60" name="Shape 19">
          <a:extLst>
            <a:ext uri="{FF2B5EF4-FFF2-40B4-BE49-F238E27FC236}">
              <a16:creationId xmlns:a16="http://schemas.microsoft.com/office/drawing/2014/main" id="{55C314C1-61BA-40EC-BC3A-9DB55CE50FF6}"/>
            </a:ext>
          </a:extLst>
        </xdr:cNvPr>
        <xdr:cNvSpPr/>
      </xdr:nvSpPr>
      <xdr:spPr>
        <a:xfrm>
          <a:off x="510540" y="530225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29</xdr:row>
      <xdr:rowOff>16510</xdr:rowOff>
    </xdr:from>
    <xdr:to>
      <xdr:col>13</xdr:col>
      <xdr:colOff>36090</xdr:colOff>
      <xdr:row>30</xdr:row>
      <xdr:rowOff>19473</xdr:rowOff>
    </xdr:to>
    <xdr:sp macro="" textlink="">
      <xdr:nvSpPr>
        <xdr:cNvPr id="61" name="Shape 19">
          <a:extLst>
            <a:ext uri="{FF2B5EF4-FFF2-40B4-BE49-F238E27FC236}">
              <a16:creationId xmlns:a16="http://schemas.microsoft.com/office/drawing/2014/main" id="{1BAD6F49-5126-49AF-833F-CCB829BBC2E3}"/>
            </a:ext>
          </a:extLst>
        </xdr:cNvPr>
        <xdr:cNvSpPr/>
      </xdr:nvSpPr>
      <xdr:spPr>
        <a:xfrm>
          <a:off x="3108960" y="53086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20108</xdr:colOff>
      <xdr:row>29</xdr:row>
      <xdr:rowOff>0</xdr:rowOff>
    </xdr:from>
    <xdr:to>
      <xdr:col>19</xdr:col>
      <xdr:colOff>56621</xdr:colOff>
      <xdr:row>30</xdr:row>
      <xdr:rowOff>862</xdr:rowOff>
    </xdr:to>
    <xdr:sp macro="" textlink="">
      <xdr:nvSpPr>
        <xdr:cNvPr id="62" name="Shape 19">
          <a:extLst>
            <a:ext uri="{FF2B5EF4-FFF2-40B4-BE49-F238E27FC236}">
              <a16:creationId xmlns:a16="http://schemas.microsoft.com/office/drawing/2014/main" id="{051219F7-DF50-4C28-9729-E541B92A8337}"/>
            </a:ext>
          </a:extLst>
        </xdr:cNvPr>
        <xdr:cNvSpPr/>
      </xdr:nvSpPr>
      <xdr:spPr>
        <a:xfrm>
          <a:off x="4666403" y="529590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31</xdr:row>
      <xdr:rowOff>0</xdr:rowOff>
    </xdr:from>
    <xdr:to>
      <xdr:col>7</xdr:col>
      <xdr:colOff>398358</xdr:colOff>
      <xdr:row>32</xdr:row>
      <xdr:rowOff>1056</xdr:rowOff>
    </xdr:to>
    <xdr:sp macro="" textlink="">
      <xdr:nvSpPr>
        <xdr:cNvPr id="63" name="Shape 19">
          <a:extLst>
            <a:ext uri="{FF2B5EF4-FFF2-40B4-BE49-F238E27FC236}">
              <a16:creationId xmlns:a16="http://schemas.microsoft.com/office/drawing/2014/main" id="{9486FC2D-CCFC-4DFE-B3C5-40FFF1476CEF}"/>
            </a:ext>
          </a:extLst>
        </xdr:cNvPr>
        <xdr:cNvSpPr/>
      </xdr:nvSpPr>
      <xdr:spPr>
        <a:xfrm>
          <a:off x="510540" y="560070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31</xdr:row>
      <xdr:rowOff>0</xdr:rowOff>
    </xdr:from>
    <xdr:to>
      <xdr:col>13</xdr:col>
      <xdr:colOff>36090</xdr:colOff>
      <xdr:row>32</xdr:row>
      <xdr:rowOff>20108</xdr:rowOff>
    </xdr:to>
    <xdr:sp macro="" textlink="">
      <xdr:nvSpPr>
        <xdr:cNvPr id="64" name="Shape 19">
          <a:extLst>
            <a:ext uri="{FF2B5EF4-FFF2-40B4-BE49-F238E27FC236}">
              <a16:creationId xmlns:a16="http://schemas.microsoft.com/office/drawing/2014/main" id="{DC88E8F9-A305-4C76-99C1-5A16C2F050FC}"/>
            </a:ext>
          </a:extLst>
        </xdr:cNvPr>
        <xdr:cNvSpPr/>
      </xdr:nvSpPr>
      <xdr:spPr>
        <a:xfrm>
          <a:off x="3108960" y="56007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635</xdr:colOff>
      <xdr:row>31</xdr:row>
      <xdr:rowOff>0</xdr:rowOff>
    </xdr:from>
    <xdr:to>
      <xdr:col>19</xdr:col>
      <xdr:colOff>17463</xdr:colOff>
      <xdr:row>32</xdr:row>
      <xdr:rowOff>862</xdr:rowOff>
    </xdr:to>
    <xdr:sp macro="" textlink="">
      <xdr:nvSpPr>
        <xdr:cNvPr id="65" name="Shape 19">
          <a:extLst>
            <a:ext uri="{FF2B5EF4-FFF2-40B4-BE49-F238E27FC236}">
              <a16:creationId xmlns:a16="http://schemas.microsoft.com/office/drawing/2014/main" id="{BF4E56CC-230C-4CF6-879A-2F8F173278D6}"/>
            </a:ext>
          </a:extLst>
        </xdr:cNvPr>
        <xdr:cNvSpPr/>
      </xdr:nvSpPr>
      <xdr:spPr>
        <a:xfrm>
          <a:off x="4639310" y="5600700"/>
          <a:ext cx="184562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500063</xdr:colOff>
      <xdr:row>53</xdr:row>
      <xdr:rowOff>174625</xdr:rowOff>
    </xdr:from>
    <xdr:to>
      <xdr:col>19</xdr:col>
      <xdr:colOff>113770</xdr:colOff>
      <xdr:row>60</xdr:row>
      <xdr:rowOff>143396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2FD65C-6945-446B-8D87-BE691E637A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6"/>
        <a:stretch/>
      </xdr:blipFill>
      <xdr:spPr>
        <a:xfrm>
          <a:off x="500063" y="9181465"/>
          <a:ext cx="6067847" cy="124893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83685</xdr:colOff>
      <xdr:row>12</xdr:row>
      <xdr:rowOff>36880</xdr:rowOff>
    </xdr:from>
    <xdr:to>
      <xdr:col>12</xdr:col>
      <xdr:colOff>209097</xdr:colOff>
      <xdr:row>12</xdr:row>
      <xdr:rowOff>239482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7ABB8DD-7C47-46BC-BB90-8C8F4AE1E9A2}"/>
            </a:ext>
          </a:extLst>
        </xdr:cNvPr>
        <xdr:cNvSpPr/>
      </xdr:nvSpPr>
      <xdr:spPr>
        <a:xfrm>
          <a:off x="2613525" y="2627680"/>
          <a:ext cx="1740852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LICENCIA</a:t>
          </a:r>
        </a:p>
      </xdr:txBody>
    </xdr:sp>
    <xdr:clientData/>
  </xdr:twoCellAnchor>
  <xdr:twoCellAnchor editAs="absolute">
    <xdr:from>
      <xdr:col>14</xdr:col>
      <xdr:colOff>88130</xdr:colOff>
      <xdr:row>12</xdr:row>
      <xdr:rowOff>36880</xdr:rowOff>
    </xdr:from>
    <xdr:to>
      <xdr:col>18</xdr:col>
      <xdr:colOff>345305</xdr:colOff>
      <xdr:row>12</xdr:row>
      <xdr:rowOff>239482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875A0082-E114-4E89-9668-1B898F2F56AB}"/>
            </a:ext>
          </a:extLst>
        </xdr:cNvPr>
        <xdr:cNvSpPr/>
      </xdr:nvSpPr>
      <xdr:spPr>
        <a:xfrm>
          <a:off x="4644890" y="2627680"/>
          <a:ext cx="1720215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AUSENCIA</a:t>
          </a:r>
        </a:p>
      </xdr:txBody>
    </xdr:sp>
    <xdr:clientData/>
  </xdr:twoCellAnchor>
  <xdr:twoCellAnchor editAs="absolute">
    <xdr:from>
      <xdr:col>1</xdr:col>
      <xdr:colOff>357188</xdr:colOff>
      <xdr:row>17</xdr:row>
      <xdr:rowOff>2007</xdr:rowOff>
    </xdr:from>
    <xdr:to>
      <xdr:col>7</xdr:col>
      <xdr:colOff>74160</xdr:colOff>
      <xdr:row>17</xdr:row>
      <xdr:rowOff>200567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2F854D87-0E19-4D26-A02C-B4FDE021B0ED}"/>
            </a:ext>
          </a:extLst>
        </xdr:cNvPr>
        <xdr:cNvSpPr/>
      </xdr:nvSpPr>
      <xdr:spPr>
        <a:xfrm>
          <a:off x="867728" y="3552927"/>
          <a:ext cx="1736272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DETALLES:</a:t>
          </a:r>
        </a:p>
      </xdr:txBody>
    </xdr:sp>
    <xdr:clientData/>
  </xdr:twoCellAnchor>
  <xdr:twoCellAnchor editAs="absolute">
    <xdr:from>
      <xdr:col>7</xdr:col>
      <xdr:colOff>369435</xdr:colOff>
      <xdr:row>17</xdr:row>
      <xdr:rowOff>407</xdr:rowOff>
    </xdr:from>
    <xdr:to>
      <xdr:col>15</xdr:col>
      <xdr:colOff>2405</xdr:colOff>
      <xdr:row>17</xdr:row>
      <xdr:rowOff>191042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B5FE3ED-AFEF-4141-B608-1018DCDA52DF}"/>
            </a:ext>
          </a:extLst>
        </xdr:cNvPr>
        <xdr:cNvSpPr/>
      </xdr:nvSpPr>
      <xdr:spPr>
        <a:xfrm>
          <a:off x="2899275" y="3549422"/>
          <a:ext cx="1758950" cy="192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HABERES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15</xdr:col>
      <xdr:colOff>2405</xdr:colOff>
      <xdr:row>17</xdr:row>
      <xdr:rowOff>2008</xdr:rowOff>
    </xdr:from>
    <xdr:to>
      <xdr:col>18</xdr:col>
      <xdr:colOff>354830</xdr:colOff>
      <xdr:row>17</xdr:row>
      <xdr:rowOff>200568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2AAB743B-CC0E-45EF-A41D-A821D1A19289}"/>
            </a:ext>
          </a:extLst>
        </xdr:cNvPr>
        <xdr:cNvSpPr/>
      </xdr:nvSpPr>
      <xdr:spPr>
        <a:xfrm>
          <a:off x="4658225" y="3552928"/>
          <a:ext cx="1716405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DESCUENTO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</xdr:col>
      <xdr:colOff>0</xdr:colOff>
      <xdr:row>21</xdr:row>
      <xdr:rowOff>184</xdr:rowOff>
    </xdr:from>
    <xdr:to>
      <xdr:col>7</xdr:col>
      <xdr:colOff>440872</xdr:colOff>
      <xdr:row>22</xdr:row>
      <xdr:rowOff>2271</xdr:rowOff>
    </xdr:to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433A9CFC-123A-4B31-A6F4-4FB1D6496CD2}"/>
            </a:ext>
          </a:extLst>
        </xdr:cNvPr>
        <xdr:cNvSpPr/>
      </xdr:nvSpPr>
      <xdr:spPr>
        <a:xfrm>
          <a:off x="510540" y="4267384"/>
          <a:ext cx="2460172" cy="20020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22298</xdr:colOff>
      <xdr:row>21</xdr:row>
      <xdr:rowOff>3542</xdr:rowOff>
    </xdr:from>
    <xdr:to>
      <xdr:col>13</xdr:col>
      <xdr:colOff>28120</xdr:colOff>
      <xdr:row>22</xdr:row>
      <xdr:rowOff>5711</xdr:rowOff>
    </xdr:to>
    <xdr:sp macro="" textlink="">
      <xdr:nvSpPr>
        <xdr:cNvPr id="9" name="Shape 19">
          <a:extLst>
            <a:ext uri="{FF2B5EF4-FFF2-40B4-BE49-F238E27FC236}">
              <a16:creationId xmlns:a16="http://schemas.microsoft.com/office/drawing/2014/main" id="{F2E06A21-3B7E-4CA9-9FF9-3872F21BB3F9}"/>
            </a:ext>
          </a:extLst>
        </xdr:cNvPr>
        <xdr:cNvSpPr/>
      </xdr:nvSpPr>
      <xdr:spPr>
        <a:xfrm>
          <a:off x="3131258" y="4270742"/>
          <a:ext cx="1362182" cy="20028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62196</xdr:colOff>
      <xdr:row>21</xdr:row>
      <xdr:rowOff>184</xdr:rowOff>
    </xdr:from>
    <xdr:to>
      <xdr:col>19</xdr:col>
      <xdr:colOff>14572</xdr:colOff>
      <xdr:row>22</xdr:row>
      <xdr:rowOff>2190</xdr:rowOff>
    </xdr:to>
    <xdr:sp macro="" textlink="">
      <xdr:nvSpPr>
        <xdr:cNvPr id="10" name="Shape 19">
          <a:extLst>
            <a:ext uri="{FF2B5EF4-FFF2-40B4-BE49-F238E27FC236}">
              <a16:creationId xmlns:a16="http://schemas.microsoft.com/office/drawing/2014/main" id="{B64888F1-2E19-4747-8A83-D77E217E5943}"/>
            </a:ext>
          </a:extLst>
        </xdr:cNvPr>
        <xdr:cNvSpPr/>
      </xdr:nvSpPr>
      <xdr:spPr>
        <a:xfrm>
          <a:off x="4618956" y="4267384"/>
          <a:ext cx="1849756" cy="2001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23</xdr:row>
      <xdr:rowOff>853</xdr:rowOff>
    </xdr:from>
    <xdr:to>
      <xdr:col>7</xdr:col>
      <xdr:colOff>440872</xdr:colOff>
      <xdr:row>24</xdr:row>
      <xdr:rowOff>1796</xdr:rowOff>
    </xdr:to>
    <xdr:sp macro="" textlink="">
      <xdr:nvSpPr>
        <xdr:cNvPr id="11" name="Shape 19">
          <a:extLst>
            <a:ext uri="{FF2B5EF4-FFF2-40B4-BE49-F238E27FC236}">
              <a16:creationId xmlns:a16="http://schemas.microsoft.com/office/drawing/2014/main" id="{FAA7A2B5-A33A-40B7-AFCD-88A412E63EA1}"/>
            </a:ext>
          </a:extLst>
        </xdr:cNvPr>
        <xdr:cNvSpPr/>
      </xdr:nvSpPr>
      <xdr:spPr>
        <a:xfrm>
          <a:off x="510540" y="4519513"/>
          <a:ext cx="2460172" cy="1990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79979</xdr:colOff>
      <xdr:row>23</xdr:row>
      <xdr:rowOff>3541</xdr:rowOff>
    </xdr:from>
    <xdr:to>
      <xdr:col>13</xdr:col>
      <xdr:colOff>14892</xdr:colOff>
      <xdr:row>24</xdr:row>
      <xdr:rowOff>5236</xdr:rowOff>
    </xdr:to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BB124F0D-671F-45D0-98BF-60B0A0AAF5B8}"/>
            </a:ext>
          </a:extLst>
        </xdr:cNvPr>
        <xdr:cNvSpPr/>
      </xdr:nvSpPr>
      <xdr:spPr>
        <a:xfrm>
          <a:off x="3089879" y="4522201"/>
          <a:ext cx="1390333" cy="19981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74367</xdr:colOff>
      <xdr:row>23</xdr:row>
      <xdr:rowOff>853</xdr:rowOff>
    </xdr:from>
    <xdr:to>
      <xdr:col>19</xdr:col>
      <xdr:colOff>25155</xdr:colOff>
      <xdr:row>24</xdr:row>
      <xdr:rowOff>1715</xdr:rowOff>
    </xdr:to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3B9400AA-97CA-44A3-AF24-71120D77FCF9}"/>
            </a:ext>
          </a:extLst>
        </xdr:cNvPr>
        <xdr:cNvSpPr/>
      </xdr:nvSpPr>
      <xdr:spPr>
        <a:xfrm>
          <a:off x="4631127" y="4519513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12385</xdr:colOff>
      <xdr:row>35</xdr:row>
      <xdr:rowOff>22723</xdr:rowOff>
    </xdr:from>
    <xdr:to>
      <xdr:col>7</xdr:col>
      <xdr:colOff>465957</xdr:colOff>
      <xdr:row>36</xdr:row>
      <xdr:rowOff>20868</xdr:rowOff>
    </xdr:to>
    <xdr:sp macro="" textlink="">
      <xdr:nvSpPr>
        <xdr:cNvPr id="14" name="Shape 19">
          <a:extLst>
            <a:ext uri="{FF2B5EF4-FFF2-40B4-BE49-F238E27FC236}">
              <a16:creationId xmlns:a16="http://schemas.microsoft.com/office/drawing/2014/main" id="{92F7E301-B8E0-4FDD-BE51-84DB6ED5381C}"/>
            </a:ext>
          </a:extLst>
        </xdr:cNvPr>
        <xdr:cNvSpPr/>
      </xdr:nvSpPr>
      <xdr:spPr>
        <a:xfrm>
          <a:off x="522925" y="6324463"/>
          <a:ext cx="2482397" cy="19626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10024</xdr:colOff>
      <xdr:row>35</xdr:row>
      <xdr:rowOff>3117</xdr:rowOff>
    </xdr:from>
    <xdr:to>
      <xdr:col>13</xdr:col>
      <xdr:colOff>37012</xdr:colOff>
      <xdr:row>35</xdr:row>
      <xdr:rowOff>191602</xdr:rowOff>
    </xdr:to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EF52709D-2525-4981-8519-90C47C0F7CDB}"/>
            </a:ext>
          </a:extLst>
        </xdr:cNvPr>
        <xdr:cNvSpPr/>
      </xdr:nvSpPr>
      <xdr:spPr>
        <a:xfrm>
          <a:off x="3118984" y="6304857"/>
          <a:ext cx="1383348" cy="18848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39791</xdr:colOff>
      <xdr:row>35</xdr:row>
      <xdr:rowOff>9312</xdr:rowOff>
    </xdr:from>
    <xdr:to>
      <xdr:col>19</xdr:col>
      <xdr:colOff>65794</xdr:colOff>
      <xdr:row>36</xdr:row>
      <xdr:rowOff>44</xdr:rowOff>
    </xdr:to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C9188880-0E13-46B8-A823-95A0A9AC9D05}"/>
            </a:ext>
          </a:extLst>
        </xdr:cNvPr>
        <xdr:cNvSpPr/>
      </xdr:nvSpPr>
      <xdr:spPr>
        <a:xfrm>
          <a:off x="4695611" y="6311052"/>
          <a:ext cx="1824323" cy="188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12383</xdr:colOff>
      <xdr:row>36</xdr:row>
      <xdr:rowOff>54488</xdr:rowOff>
    </xdr:from>
    <xdr:to>
      <xdr:col>7</xdr:col>
      <xdr:colOff>465955</xdr:colOff>
      <xdr:row>37</xdr:row>
      <xdr:rowOff>177536</xdr:rowOff>
    </xdr:to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AAB648D9-D3BF-4029-BA49-E992D338ED8F}"/>
            </a:ext>
          </a:extLst>
        </xdr:cNvPr>
        <xdr:cNvSpPr/>
      </xdr:nvSpPr>
      <xdr:spPr>
        <a:xfrm>
          <a:off x="522923" y="6554348"/>
          <a:ext cx="2482397" cy="199248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76</xdr:colOff>
      <xdr:row>36</xdr:row>
      <xdr:rowOff>75933</xdr:rowOff>
    </xdr:from>
    <xdr:to>
      <xdr:col>13</xdr:col>
      <xdr:colOff>3781</xdr:colOff>
      <xdr:row>37</xdr:row>
      <xdr:rowOff>190585</xdr:rowOff>
    </xdr:to>
    <xdr:sp macro="" textlink="">
      <xdr:nvSpPr>
        <xdr:cNvPr id="18" name="Shape 19">
          <a:extLst>
            <a:ext uri="{FF2B5EF4-FFF2-40B4-BE49-F238E27FC236}">
              <a16:creationId xmlns:a16="http://schemas.microsoft.com/office/drawing/2014/main" id="{34542B56-F232-41FC-B226-F7C07D2B5860}"/>
            </a:ext>
          </a:extLst>
        </xdr:cNvPr>
        <xdr:cNvSpPr/>
      </xdr:nvSpPr>
      <xdr:spPr>
        <a:xfrm>
          <a:off x="3109036" y="6575793"/>
          <a:ext cx="1360065" cy="190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2540</xdr:colOff>
      <xdr:row>37</xdr:row>
      <xdr:rowOff>13122</xdr:rowOff>
    </xdr:from>
    <xdr:to>
      <xdr:col>19</xdr:col>
      <xdr:colOff>65798</xdr:colOff>
      <xdr:row>37</xdr:row>
      <xdr:rowOff>188995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A9422CC5-DB11-41A7-A672-B4C9360F3CE0}"/>
            </a:ext>
          </a:extLst>
        </xdr:cNvPr>
        <xdr:cNvSpPr/>
      </xdr:nvSpPr>
      <xdr:spPr>
        <a:xfrm>
          <a:off x="4658360" y="6589182"/>
          <a:ext cx="1861578" cy="17587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25083</xdr:colOff>
      <xdr:row>38</xdr:row>
      <xdr:rowOff>43789</xdr:rowOff>
    </xdr:from>
    <xdr:to>
      <xdr:col>8</xdr:col>
      <xdr:colOff>8120</xdr:colOff>
      <xdr:row>39</xdr:row>
      <xdr:rowOff>182652</xdr:rowOff>
    </xdr:to>
    <xdr:sp macro="" textlink="">
      <xdr:nvSpPr>
        <xdr:cNvPr id="20" name="Shape 19">
          <a:extLst>
            <a:ext uri="{FF2B5EF4-FFF2-40B4-BE49-F238E27FC236}">
              <a16:creationId xmlns:a16="http://schemas.microsoft.com/office/drawing/2014/main" id="{B025B51B-7DCB-4D1B-BB7C-F827AF0F2E23}"/>
            </a:ext>
          </a:extLst>
        </xdr:cNvPr>
        <xdr:cNvSpPr/>
      </xdr:nvSpPr>
      <xdr:spPr>
        <a:xfrm>
          <a:off x="535623" y="6817969"/>
          <a:ext cx="2482397" cy="19982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26851</xdr:colOff>
      <xdr:row>39</xdr:row>
      <xdr:rowOff>27492</xdr:rowOff>
    </xdr:from>
    <xdr:to>
      <xdr:col>13</xdr:col>
      <xdr:colOff>42228</xdr:colOff>
      <xdr:row>40</xdr:row>
      <xdr:rowOff>31221</xdr:rowOff>
    </xdr:to>
    <xdr:sp macro="" textlink="">
      <xdr:nvSpPr>
        <xdr:cNvPr id="21" name="Shape 19">
          <a:extLst>
            <a:ext uri="{FF2B5EF4-FFF2-40B4-BE49-F238E27FC236}">
              <a16:creationId xmlns:a16="http://schemas.microsoft.com/office/drawing/2014/main" id="{CD23B34D-659A-4040-ADF9-404CCEABD4B7}"/>
            </a:ext>
          </a:extLst>
        </xdr:cNvPr>
        <xdr:cNvSpPr/>
      </xdr:nvSpPr>
      <xdr:spPr>
        <a:xfrm>
          <a:off x="3135811" y="6862632"/>
          <a:ext cx="1371737" cy="19422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2965</xdr:colOff>
      <xdr:row>39</xdr:row>
      <xdr:rowOff>7807</xdr:rowOff>
    </xdr:from>
    <xdr:to>
      <xdr:col>19</xdr:col>
      <xdr:colOff>90033</xdr:colOff>
      <xdr:row>40</xdr:row>
      <xdr:rowOff>11006</xdr:rowOff>
    </xdr:to>
    <xdr:sp macro="" textlink="">
      <xdr:nvSpPr>
        <xdr:cNvPr id="22" name="Shape 19">
          <a:extLst>
            <a:ext uri="{FF2B5EF4-FFF2-40B4-BE49-F238E27FC236}">
              <a16:creationId xmlns:a16="http://schemas.microsoft.com/office/drawing/2014/main" id="{4D30DDD6-F41D-45D1-BC9C-BDF723AF8462}"/>
            </a:ext>
          </a:extLst>
        </xdr:cNvPr>
        <xdr:cNvSpPr/>
      </xdr:nvSpPr>
      <xdr:spPr>
        <a:xfrm>
          <a:off x="4654975" y="6842947"/>
          <a:ext cx="1889198" cy="19369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20005</xdr:colOff>
      <xdr:row>41</xdr:row>
      <xdr:rowOff>4222</xdr:rowOff>
    </xdr:from>
    <xdr:to>
      <xdr:col>8</xdr:col>
      <xdr:colOff>502</xdr:colOff>
      <xdr:row>42</xdr:row>
      <xdr:rowOff>16612</xdr:rowOff>
    </xdr:to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321EDAD8-C591-4246-90C2-97DF45C99936}"/>
            </a:ext>
          </a:extLst>
        </xdr:cNvPr>
        <xdr:cNvSpPr/>
      </xdr:nvSpPr>
      <xdr:spPr>
        <a:xfrm>
          <a:off x="530545" y="7106062"/>
          <a:ext cx="2479857" cy="2105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34154</xdr:colOff>
      <xdr:row>41</xdr:row>
      <xdr:rowOff>19734</xdr:rowOff>
    </xdr:from>
    <xdr:to>
      <xdr:col>13</xdr:col>
      <xdr:colOff>58602</xdr:colOff>
      <xdr:row>42</xdr:row>
      <xdr:rowOff>10633</xdr:rowOff>
    </xdr:to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ECB95404-422D-4B79-B650-895BE41FC2E7}"/>
            </a:ext>
          </a:extLst>
        </xdr:cNvPr>
        <xdr:cNvSpPr/>
      </xdr:nvSpPr>
      <xdr:spPr>
        <a:xfrm>
          <a:off x="3143114" y="7121574"/>
          <a:ext cx="1380808" cy="18901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86753</xdr:colOff>
      <xdr:row>41</xdr:row>
      <xdr:rowOff>5281</xdr:rowOff>
    </xdr:from>
    <xdr:to>
      <xdr:col>19</xdr:col>
      <xdr:colOff>58178</xdr:colOff>
      <xdr:row>42</xdr:row>
      <xdr:rowOff>12087</xdr:rowOff>
    </xdr:to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AF84E788-91B9-40C2-B253-E9A2E1E2B387}"/>
            </a:ext>
          </a:extLst>
        </xdr:cNvPr>
        <xdr:cNvSpPr/>
      </xdr:nvSpPr>
      <xdr:spPr>
        <a:xfrm>
          <a:off x="4643513" y="7107121"/>
          <a:ext cx="1868805" cy="2049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31433</xdr:colOff>
      <xdr:row>44</xdr:row>
      <xdr:rowOff>55224</xdr:rowOff>
    </xdr:from>
    <xdr:to>
      <xdr:col>13</xdr:col>
      <xdr:colOff>48896</xdr:colOff>
      <xdr:row>46</xdr:row>
      <xdr:rowOff>18252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ACFE6D25-A97A-4E21-AB6B-CE77CA1BC663}"/>
            </a:ext>
          </a:extLst>
        </xdr:cNvPr>
        <xdr:cNvSpPr/>
      </xdr:nvSpPr>
      <xdr:spPr>
        <a:xfrm>
          <a:off x="3140393" y="7652364"/>
          <a:ext cx="1373823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15</xdr:col>
      <xdr:colOff>39336</xdr:colOff>
      <xdr:row>44</xdr:row>
      <xdr:rowOff>44641</xdr:rowOff>
    </xdr:from>
    <xdr:to>
      <xdr:col>19</xdr:col>
      <xdr:colOff>82018</xdr:colOff>
      <xdr:row>46</xdr:row>
      <xdr:rowOff>7669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9ACCFBD3-E625-4198-8A92-51A9F741F1D5}"/>
            </a:ext>
          </a:extLst>
        </xdr:cNvPr>
        <xdr:cNvSpPr/>
      </xdr:nvSpPr>
      <xdr:spPr>
        <a:xfrm>
          <a:off x="4695156" y="7641781"/>
          <a:ext cx="1841002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50286</xdr:colOff>
      <xdr:row>47</xdr:row>
      <xdr:rowOff>39934</xdr:rowOff>
    </xdr:from>
    <xdr:to>
      <xdr:col>7</xdr:col>
      <xdr:colOff>279399</xdr:colOff>
      <xdr:row>48</xdr:row>
      <xdr:rowOff>88899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DDA9AE6B-D20B-4217-AA27-C5329B8E5B33}"/>
            </a:ext>
          </a:extLst>
        </xdr:cNvPr>
        <xdr:cNvSpPr/>
      </xdr:nvSpPr>
      <xdr:spPr>
        <a:xfrm>
          <a:off x="560826" y="7987594"/>
          <a:ext cx="2248413" cy="231845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49016</xdr:colOff>
      <xdr:row>44</xdr:row>
      <xdr:rowOff>62764</xdr:rowOff>
    </xdr:from>
    <xdr:to>
      <xdr:col>7</xdr:col>
      <xdr:colOff>266700</xdr:colOff>
      <xdr:row>46</xdr:row>
      <xdr:rowOff>31750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96727EA4-9CB0-4872-831E-BFB70178C617}"/>
            </a:ext>
          </a:extLst>
        </xdr:cNvPr>
        <xdr:cNvSpPr/>
      </xdr:nvSpPr>
      <xdr:spPr>
        <a:xfrm>
          <a:off x="559556" y="7659904"/>
          <a:ext cx="2236984" cy="235686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400"/>
        </a:p>
      </xdr:txBody>
    </xdr:sp>
    <xdr:clientData/>
  </xdr:twoCellAnchor>
  <xdr:twoCellAnchor editAs="absolute">
    <xdr:from>
      <xdr:col>1</xdr:col>
      <xdr:colOff>85725</xdr:colOff>
      <xdr:row>44</xdr:row>
      <xdr:rowOff>107388</xdr:rowOff>
    </xdr:from>
    <xdr:to>
      <xdr:col>5</xdr:col>
      <xdr:colOff>580798</xdr:colOff>
      <xdr:row>46</xdr:row>
      <xdr:rowOff>26595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BF3397D-0C2A-4F05-8CCE-FC314352B7A7}"/>
            </a:ext>
          </a:extLst>
        </xdr:cNvPr>
        <xdr:cNvSpPr/>
      </xdr:nvSpPr>
      <xdr:spPr>
        <a:xfrm>
          <a:off x="596265" y="7704528"/>
          <a:ext cx="1840003" cy="185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TOTALES:</a:t>
          </a:r>
        </a:p>
      </xdr:txBody>
    </xdr:sp>
    <xdr:clientData/>
  </xdr:twoCellAnchor>
  <xdr:twoCellAnchor editAs="absolute">
    <xdr:from>
      <xdr:col>1</xdr:col>
      <xdr:colOff>39371</xdr:colOff>
      <xdr:row>47</xdr:row>
      <xdr:rowOff>63337</xdr:rowOff>
    </xdr:from>
    <xdr:to>
      <xdr:col>5</xdr:col>
      <xdr:colOff>553494</xdr:colOff>
      <xdr:row>48</xdr:row>
      <xdr:rowOff>55576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8196FAAB-F647-4958-83F3-58674C2B422B}"/>
            </a:ext>
          </a:extLst>
        </xdr:cNvPr>
        <xdr:cNvSpPr/>
      </xdr:nvSpPr>
      <xdr:spPr>
        <a:xfrm>
          <a:off x="549911" y="8010997"/>
          <a:ext cx="1840003" cy="1751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 A PAGAR:</a:t>
          </a:r>
        </a:p>
      </xdr:txBody>
    </xdr:sp>
    <xdr:clientData/>
  </xdr:twoCellAnchor>
  <xdr:twoCellAnchor editAs="absolute">
    <xdr:from>
      <xdr:col>9</xdr:col>
      <xdr:colOff>23707</xdr:colOff>
      <xdr:row>47</xdr:row>
      <xdr:rowOff>17917</xdr:rowOff>
    </xdr:from>
    <xdr:to>
      <xdr:col>19</xdr:col>
      <xdr:colOff>72390</xdr:colOff>
      <xdr:row>48</xdr:row>
      <xdr:rowOff>43177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A3138834-B6DE-43DB-B12E-3F2D9476DB50}"/>
            </a:ext>
          </a:extLst>
        </xdr:cNvPr>
        <xdr:cNvSpPr/>
      </xdr:nvSpPr>
      <xdr:spPr>
        <a:xfrm>
          <a:off x="3132667" y="7965577"/>
          <a:ext cx="3393863" cy="20814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-=</a:t>
          </a:r>
        </a:p>
      </xdr:txBody>
    </xdr:sp>
    <xdr:clientData/>
  </xdr:twoCellAnchor>
  <xdr:twoCellAnchor editAs="absolute">
    <xdr:from>
      <xdr:col>1</xdr:col>
      <xdr:colOff>1838</xdr:colOff>
      <xdr:row>7</xdr:row>
      <xdr:rowOff>7493</xdr:rowOff>
    </xdr:from>
    <xdr:to>
      <xdr:col>2</xdr:col>
      <xdr:colOff>34290</xdr:colOff>
      <xdr:row>7</xdr:row>
      <xdr:rowOff>186081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6B6A6915-8D1C-4C8C-B9AF-E8730882E989}"/>
            </a:ext>
          </a:extLst>
        </xdr:cNvPr>
        <xdr:cNvSpPr/>
      </xdr:nvSpPr>
      <xdr:spPr>
        <a:xfrm>
          <a:off x="512378" y="1409573"/>
          <a:ext cx="520132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1837</xdr:colOff>
      <xdr:row>8</xdr:row>
      <xdr:rowOff>52388</xdr:rowOff>
    </xdr:from>
    <xdr:to>
      <xdr:col>3</xdr:col>
      <xdr:colOff>103187</xdr:colOff>
      <xdr:row>8</xdr:row>
      <xdr:rowOff>185261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B5684104-13B9-46C3-9604-DC2776425CC1}"/>
            </a:ext>
          </a:extLst>
        </xdr:cNvPr>
        <xdr:cNvSpPr/>
      </xdr:nvSpPr>
      <xdr:spPr>
        <a:xfrm>
          <a:off x="512377" y="1675448"/>
          <a:ext cx="771910" cy="13287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NOMBRE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1838</xdr:colOff>
      <xdr:row>9</xdr:row>
      <xdr:rowOff>65256</xdr:rowOff>
    </xdr:from>
    <xdr:to>
      <xdr:col>5</xdr:col>
      <xdr:colOff>92256</xdr:colOff>
      <xdr:row>10</xdr:row>
      <xdr:rowOff>3602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F4155A77-92DD-4069-BEC8-9260134D4D04}"/>
            </a:ext>
          </a:extLst>
        </xdr:cNvPr>
        <xdr:cNvSpPr/>
      </xdr:nvSpPr>
      <xdr:spPr>
        <a:xfrm>
          <a:off x="512378" y="1894056"/>
          <a:ext cx="1416298" cy="15170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FECHA DE INGRESO:</a:t>
          </a:r>
        </a:p>
      </xdr:txBody>
    </xdr:sp>
    <xdr:clientData/>
  </xdr:twoCellAnchor>
  <xdr:twoCellAnchor editAs="absolute">
    <xdr:from>
      <xdr:col>1</xdr:col>
      <xdr:colOff>1838</xdr:colOff>
      <xdr:row>10</xdr:row>
      <xdr:rowOff>51122</xdr:rowOff>
    </xdr:from>
    <xdr:to>
      <xdr:col>3</xdr:col>
      <xdr:colOff>2993</xdr:colOff>
      <xdr:row>11</xdr:row>
      <xdr:rowOff>1110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ABB9E071-B8CE-4C77-A7BC-8E5A5BEE924A}"/>
            </a:ext>
          </a:extLst>
        </xdr:cNvPr>
        <xdr:cNvSpPr/>
      </xdr:nvSpPr>
      <xdr:spPr>
        <a:xfrm>
          <a:off x="512378" y="2093282"/>
          <a:ext cx="671715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CARGO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3810</xdr:colOff>
      <xdr:row>12</xdr:row>
      <xdr:rowOff>13335</xdr:rowOff>
    </xdr:from>
    <xdr:to>
      <xdr:col>5</xdr:col>
      <xdr:colOff>576911</xdr:colOff>
      <xdr:row>13</xdr:row>
      <xdr:rowOff>320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CCACBF51-7334-4DD4-8B1D-C200FC65F681}"/>
            </a:ext>
          </a:extLst>
        </xdr:cNvPr>
        <xdr:cNvSpPr/>
      </xdr:nvSpPr>
      <xdr:spPr>
        <a:xfrm>
          <a:off x="514350" y="2604135"/>
          <a:ext cx="1898981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TRABAJADOS:</a:t>
          </a:r>
        </a:p>
      </xdr:txBody>
    </xdr:sp>
    <xdr:clientData/>
  </xdr:twoCellAnchor>
  <xdr:twoCellAnchor editAs="absolute">
    <xdr:from>
      <xdr:col>7</xdr:col>
      <xdr:colOff>14152</xdr:colOff>
      <xdr:row>12</xdr:row>
      <xdr:rowOff>13335</xdr:rowOff>
    </xdr:from>
    <xdr:to>
      <xdr:col>13</xdr:col>
      <xdr:colOff>4549</xdr:colOff>
      <xdr:row>13</xdr:row>
      <xdr:rowOff>320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224EC3C7-15C1-4A4E-BE4A-62F32CB9C100}"/>
            </a:ext>
          </a:extLst>
        </xdr:cNvPr>
        <xdr:cNvSpPr/>
      </xdr:nvSpPr>
      <xdr:spPr>
        <a:xfrm>
          <a:off x="2543992" y="2604135"/>
          <a:ext cx="1925877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LICENCIA:</a:t>
          </a:r>
        </a:p>
      </xdr:txBody>
    </xdr:sp>
    <xdr:clientData/>
  </xdr:twoCellAnchor>
  <xdr:twoCellAnchor editAs="absolute">
    <xdr:from>
      <xdr:col>14</xdr:col>
      <xdr:colOff>35742</xdr:colOff>
      <xdr:row>12</xdr:row>
      <xdr:rowOff>13335</xdr:rowOff>
    </xdr:from>
    <xdr:to>
      <xdr:col>18</xdr:col>
      <xdr:colOff>416982</xdr:colOff>
      <xdr:row>13</xdr:row>
      <xdr:rowOff>320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AD8948A5-1A17-4DC5-B98F-A3AB482B30E8}"/>
            </a:ext>
          </a:extLst>
        </xdr:cNvPr>
        <xdr:cNvSpPr/>
      </xdr:nvSpPr>
      <xdr:spPr>
        <a:xfrm>
          <a:off x="4592502" y="2604135"/>
          <a:ext cx="1844280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AUSENCIA:</a:t>
          </a:r>
        </a:p>
      </xdr:txBody>
    </xdr:sp>
    <xdr:clientData/>
  </xdr:twoCellAnchor>
  <xdr:twoCellAnchor editAs="absolute">
    <xdr:from>
      <xdr:col>1</xdr:col>
      <xdr:colOff>3810</xdr:colOff>
      <xdr:row>14</xdr:row>
      <xdr:rowOff>9525</xdr:rowOff>
    </xdr:from>
    <xdr:to>
      <xdr:col>5</xdr:col>
      <xdr:colOff>576911</xdr:colOff>
      <xdr:row>15</xdr:row>
      <xdr:rowOff>265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B38ACC14-43CE-43EC-86A3-F8CEDDE5EDBA}"/>
            </a:ext>
          </a:extLst>
        </xdr:cNvPr>
        <xdr:cNvSpPr/>
      </xdr:nvSpPr>
      <xdr:spPr>
        <a:xfrm>
          <a:off x="514350" y="2897505"/>
          <a:ext cx="1898981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7</xdr:col>
      <xdr:colOff>14152</xdr:colOff>
      <xdr:row>14</xdr:row>
      <xdr:rowOff>9525</xdr:rowOff>
    </xdr:from>
    <xdr:to>
      <xdr:col>13</xdr:col>
      <xdr:colOff>4549</xdr:colOff>
      <xdr:row>15</xdr:row>
      <xdr:rowOff>265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169AE55E-1033-445C-9E43-9EB1798AF507}"/>
            </a:ext>
          </a:extLst>
        </xdr:cNvPr>
        <xdr:cNvSpPr/>
      </xdr:nvSpPr>
      <xdr:spPr>
        <a:xfrm>
          <a:off x="2543992" y="2897505"/>
          <a:ext cx="192587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14</xdr:col>
      <xdr:colOff>9600</xdr:colOff>
      <xdr:row>14</xdr:row>
      <xdr:rowOff>9525</xdr:rowOff>
    </xdr:from>
    <xdr:to>
      <xdr:col>18</xdr:col>
      <xdr:colOff>418887</xdr:colOff>
      <xdr:row>15</xdr:row>
      <xdr:rowOff>265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37B3E22C-075B-4E1E-8EA6-AC5BAA1451CF}"/>
            </a:ext>
          </a:extLst>
        </xdr:cNvPr>
        <xdr:cNvSpPr/>
      </xdr:nvSpPr>
      <xdr:spPr>
        <a:xfrm>
          <a:off x="4566360" y="2897505"/>
          <a:ext cx="187232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</xdr:col>
      <xdr:colOff>3810</xdr:colOff>
      <xdr:row>16</xdr:row>
      <xdr:rowOff>179070</xdr:rowOff>
    </xdr:from>
    <xdr:to>
      <xdr:col>7</xdr:col>
      <xdr:colOff>454207</xdr:colOff>
      <xdr:row>18</xdr:row>
      <xdr:rowOff>17040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0DF7A542-F1C5-4D6C-8A87-58B1E92E4EEC}"/>
            </a:ext>
          </a:extLst>
        </xdr:cNvPr>
        <xdr:cNvSpPr/>
      </xdr:nvSpPr>
      <xdr:spPr>
        <a:xfrm>
          <a:off x="514350" y="3547110"/>
          <a:ext cx="2469697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DETALLE:</a:t>
          </a:r>
        </a:p>
      </xdr:txBody>
    </xdr:sp>
    <xdr:clientData/>
  </xdr:twoCellAnchor>
  <xdr:twoCellAnchor editAs="absolute">
    <xdr:from>
      <xdr:col>8</xdr:col>
      <xdr:colOff>78921</xdr:colOff>
      <xdr:row>16</xdr:row>
      <xdr:rowOff>179070</xdr:rowOff>
    </xdr:from>
    <xdr:to>
      <xdr:col>13</xdr:col>
      <xdr:colOff>1607</xdr:colOff>
      <xdr:row>18</xdr:row>
      <xdr:rowOff>17040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19E542F6-8C3B-4783-ADD3-8617199E194A}"/>
            </a:ext>
          </a:extLst>
        </xdr:cNvPr>
        <xdr:cNvSpPr/>
      </xdr:nvSpPr>
      <xdr:spPr>
        <a:xfrm>
          <a:off x="3088821" y="3547110"/>
          <a:ext cx="1378106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HABERES:</a:t>
          </a:r>
        </a:p>
      </xdr:txBody>
    </xdr:sp>
    <xdr:clientData/>
  </xdr:twoCellAnchor>
  <xdr:twoCellAnchor editAs="absolute">
    <xdr:from>
      <xdr:col>14</xdr:col>
      <xdr:colOff>1980</xdr:colOff>
      <xdr:row>16</xdr:row>
      <xdr:rowOff>179070</xdr:rowOff>
    </xdr:from>
    <xdr:to>
      <xdr:col>19</xdr:col>
      <xdr:colOff>921</xdr:colOff>
      <xdr:row>18</xdr:row>
      <xdr:rowOff>17040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F536D8C2-0D8C-4A27-BA51-585EF3DA24BC}"/>
            </a:ext>
          </a:extLst>
        </xdr:cNvPr>
        <xdr:cNvSpPr/>
      </xdr:nvSpPr>
      <xdr:spPr>
        <a:xfrm>
          <a:off x="4558740" y="3547110"/>
          <a:ext cx="1896321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DESCUENTO:</a:t>
          </a:r>
        </a:p>
      </xdr:txBody>
    </xdr:sp>
    <xdr:clientData/>
  </xdr:twoCellAnchor>
  <xdr:twoCellAnchor editAs="absolute">
    <xdr:from>
      <xdr:col>10</xdr:col>
      <xdr:colOff>110634</xdr:colOff>
      <xdr:row>7</xdr:row>
      <xdr:rowOff>7493</xdr:rowOff>
    </xdr:from>
    <xdr:to>
      <xdr:col>14</xdr:col>
      <xdr:colOff>94954</xdr:colOff>
      <xdr:row>7</xdr:row>
      <xdr:rowOff>186081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10776123-2A8A-40B1-89E1-D25B2DCB4033}"/>
            </a:ext>
          </a:extLst>
        </xdr:cNvPr>
        <xdr:cNvSpPr/>
      </xdr:nvSpPr>
      <xdr:spPr>
        <a:xfrm>
          <a:off x="3501534" y="1409573"/>
          <a:ext cx="1150180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RAZÓN SOCIAL: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8</xdr:row>
      <xdr:rowOff>70173</xdr:rowOff>
    </xdr:from>
    <xdr:to>
      <xdr:col>11</xdr:col>
      <xdr:colOff>476749</xdr:colOff>
      <xdr:row>9</xdr:row>
      <xdr:rowOff>1111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BBE5DEE7-E61D-44F4-844E-8D7FFCE718EB}"/>
            </a:ext>
          </a:extLst>
        </xdr:cNvPr>
        <xdr:cNvSpPr/>
      </xdr:nvSpPr>
      <xdr:spPr>
        <a:xfrm>
          <a:off x="3501535" y="1693233"/>
          <a:ext cx="480414" cy="13667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9</xdr:row>
      <xdr:rowOff>68036</xdr:rowOff>
    </xdr:from>
    <xdr:to>
      <xdr:col>12</xdr:col>
      <xdr:colOff>271009</xdr:colOff>
      <xdr:row>10</xdr:row>
      <xdr:rowOff>3602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6BFADA67-D9F9-465A-830B-7AC4707F824D}"/>
            </a:ext>
          </a:extLst>
        </xdr:cNvPr>
        <xdr:cNvSpPr/>
      </xdr:nvSpPr>
      <xdr:spPr>
        <a:xfrm>
          <a:off x="3501535" y="1896836"/>
          <a:ext cx="914754" cy="14892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DIRECCIÓN:</a:t>
          </a:r>
        </a:p>
      </xdr:txBody>
    </xdr:sp>
    <xdr:clientData/>
  </xdr:twoCellAnchor>
  <xdr:twoCellAnchor editAs="absolute">
    <xdr:from>
      <xdr:col>10</xdr:col>
      <xdr:colOff>110635</xdr:colOff>
      <xdr:row>10</xdr:row>
      <xdr:rowOff>51122</xdr:rowOff>
    </xdr:from>
    <xdr:to>
      <xdr:col>11</xdr:col>
      <xdr:colOff>608194</xdr:colOff>
      <xdr:row>11</xdr:row>
      <xdr:rowOff>1110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14DFA73F-B7AD-4BF9-AA70-2B1E8C2DAF38}"/>
            </a:ext>
          </a:extLst>
        </xdr:cNvPr>
        <xdr:cNvSpPr/>
      </xdr:nvSpPr>
      <xdr:spPr>
        <a:xfrm>
          <a:off x="3501535" y="2093282"/>
          <a:ext cx="611859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EMAIL: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359797</xdr:colOff>
      <xdr:row>2</xdr:row>
      <xdr:rowOff>8245</xdr:rowOff>
    </xdr:from>
    <xdr:to>
      <xdr:col>15</xdr:col>
      <xdr:colOff>302812</xdr:colOff>
      <xdr:row>2</xdr:row>
      <xdr:rowOff>181427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974204B4-D412-42B1-A9B8-77342D6F52C3}"/>
            </a:ext>
          </a:extLst>
        </xdr:cNvPr>
        <xdr:cNvSpPr/>
      </xdr:nvSpPr>
      <xdr:spPr>
        <a:xfrm>
          <a:off x="1838077" y="374005"/>
          <a:ext cx="3120555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accent1">
                  <a:lumMod val="75000"/>
                </a:schemeClr>
              </a:solidFill>
            </a:rPr>
            <a:t>LIQUIDACIÓN DE SUELDO</a:t>
          </a:r>
          <a:r>
            <a:rPr lang="es-CL" sz="1400" b="1" baseline="0">
              <a:solidFill>
                <a:schemeClr val="accent1">
                  <a:lumMod val="75000"/>
                </a:schemeClr>
              </a:solidFill>
            </a:rPr>
            <a:t> MENSUAL</a:t>
          </a:r>
          <a:endParaRPr lang="es-CL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64976</xdr:colOff>
      <xdr:row>53</xdr:row>
      <xdr:rowOff>8250</xdr:rowOff>
    </xdr:from>
    <xdr:to>
      <xdr:col>18</xdr:col>
      <xdr:colOff>242662</xdr:colOff>
      <xdr:row>53</xdr:row>
      <xdr:rowOff>181432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BC32D1F7-8CA9-44FC-A433-68FF6BD583D3}"/>
            </a:ext>
          </a:extLst>
        </xdr:cNvPr>
        <xdr:cNvSpPr/>
      </xdr:nvSpPr>
      <xdr:spPr>
        <a:xfrm>
          <a:off x="4720796" y="9015090"/>
          <a:ext cx="1541666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50" b="1">
              <a:solidFill>
                <a:schemeClr val="accent1">
                  <a:lumMod val="75000"/>
                </a:schemeClr>
              </a:solidFill>
              <a:latin typeface="Raleway" panose="020B0503030101060003" pitchFamily="34" charset="0"/>
            </a:rPr>
            <a:t>FIRMA TRABAJADOR</a:t>
          </a:r>
        </a:p>
      </xdr:txBody>
    </xdr:sp>
    <xdr:clientData/>
  </xdr:twoCellAnchor>
  <xdr:twoCellAnchor>
    <xdr:from>
      <xdr:col>13</xdr:col>
      <xdr:colOff>54429</xdr:colOff>
      <xdr:row>52</xdr:row>
      <xdr:rowOff>63500</xdr:rowOff>
    </xdr:from>
    <xdr:to>
      <xdr:col>18</xdr:col>
      <xdr:colOff>411159</xdr:colOff>
      <xdr:row>52</xdr:row>
      <xdr:rowOff>63500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993EB3D3-50F6-4552-B27E-FFCE3DA67B2A}"/>
            </a:ext>
          </a:extLst>
        </xdr:cNvPr>
        <xdr:cNvCxnSpPr/>
      </xdr:nvCxnSpPr>
      <xdr:spPr>
        <a:xfrm>
          <a:off x="4519749" y="8887460"/>
          <a:ext cx="1911210" cy="0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10582</xdr:colOff>
      <xdr:row>25</xdr:row>
      <xdr:rowOff>15877</xdr:rowOff>
    </xdr:from>
    <xdr:to>
      <xdr:col>7</xdr:col>
      <xdr:colOff>412750</xdr:colOff>
      <xdr:row>26</xdr:row>
      <xdr:rowOff>21167</xdr:rowOff>
    </xdr:to>
    <xdr:sp macro="" textlink="">
      <xdr:nvSpPr>
        <xdr:cNvPr id="53" name="Shape 19">
          <a:extLst>
            <a:ext uri="{FF2B5EF4-FFF2-40B4-BE49-F238E27FC236}">
              <a16:creationId xmlns:a16="http://schemas.microsoft.com/office/drawing/2014/main" id="{7445F473-C9CD-42D8-832F-C1CA65C29D41}"/>
            </a:ext>
          </a:extLst>
        </xdr:cNvPr>
        <xdr:cNvSpPr/>
      </xdr:nvSpPr>
      <xdr:spPr>
        <a:xfrm>
          <a:off x="521122" y="4785997"/>
          <a:ext cx="2421468" cy="2034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317</xdr:colOff>
      <xdr:row>25</xdr:row>
      <xdr:rowOff>5292</xdr:rowOff>
    </xdr:from>
    <xdr:to>
      <xdr:col>13</xdr:col>
      <xdr:colOff>2540</xdr:colOff>
      <xdr:row>25</xdr:row>
      <xdr:rowOff>189549</xdr:rowOff>
    </xdr:to>
    <xdr:sp macro="" textlink="">
      <xdr:nvSpPr>
        <xdr:cNvPr id="54" name="Shape 19">
          <a:extLst>
            <a:ext uri="{FF2B5EF4-FFF2-40B4-BE49-F238E27FC236}">
              <a16:creationId xmlns:a16="http://schemas.microsoft.com/office/drawing/2014/main" id="{C9B879EA-E834-4171-A11A-1DE45B26E9A2}"/>
            </a:ext>
          </a:extLst>
        </xdr:cNvPr>
        <xdr:cNvSpPr/>
      </xdr:nvSpPr>
      <xdr:spPr>
        <a:xfrm>
          <a:off x="3105467" y="4775412"/>
          <a:ext cx="1362393" cy="18425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73550</xdr:colOff>
      <xdr:row>25</xdr:row>
      <xdr:rowOff>21167</xdr:rowOff>
    </xdr:from>
    <xdr:to>
      <xdr:col>19</xdr:col>
      <xdr:colOff>24338</xdr:colOff>
      <xdr:row>26</xdr:row>
      <xdr:rowOff>22029</xdr:rowOff>
    </xdr:to>
    <xdr:sp macro="" textlink="">
      <xdr:nvSpPr>
        <xdr:cNvPr id="55" name="Shape 19">
          <a:extLst>
            <a:ext uri="{FF2B5EF4-FFF2-40B4-BE49-F238E27FC236}">
              <a16:creationId xmlns:a16="http://schemas.microsoft.com/office/drawing/2014/main" id="{E0298A18-980F-4AFF-9086-5DB098AB1428}"/>
            </a:ext>
          </a:extLst>
        </xdr:cNvPr>
        <xdr:cNvSpPr/>
      </xdr:nvSpPr>
      <xdr:spPr>
        <a:xfrm>
          <a:off x="4630310" y="4791287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55563</xdr:colOff>
      <xdr:row>1</xdr:row>
      <xdr:rowOff>79377</xdr:rowOff>
    </xdr:from>
    <xdr:to>
      <xdr:col>5</xdr:col>
      <xdr:colOff>148593</xdr:colOff>
      <xdr:row>3</xdr:row>
      <xdr:rowOff>147640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6FF4513B-DD78-4FD9-8A6D-8637C17C7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03" y="262257"/>
          <a:ext cx="1418910" cy="494983"/>
        </a:xfrm>
        <a:prstGeom prst="rect">
          <a:avLst/>
        </a:prstGeom>
      </xdr:spPr>
    </xdr:pic>
    <xdr:clientData/>
  </xdr:twoCellAnchor>
  <xdr:twoCellAnchor editAs="absolute">
    <xdr:from>
      <xdr:col>1</xdr:col>
      <xdr:colOff>21166</xdr:colOff>
      <xdr:row>26</xdr:row>
      <xdr:rowOff>63500</xdr:rowOff>
    </xdr:from>
    <xdr:to>
      <xdr:col>7</xdr:col>
      <xdr:colOff>423334</xdr:colOff>
      <xdr:row>27</xdr:row>
      <xdr:rowOff>185206</xdr:rowOff>
    </xdr:to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08DC0EE8-BE2D-48E0-AAF3-9F01AB2F9C4A}"/>
            </a:ext>
          </a:extLst>
        </xdr:cNvPr>
        <xdr:cNvSpPr/>
      </xdr:nvSpPr>
      <xdr:spPr>
        <a:xfrm>
          <a:off x="531706" y="503174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63501</xdr:colOff>
      <xdr:row>27</xdr:row>
      <xdr:rowOff>0</xdr:rowOff>
    </xdr:from>
    <xdr:to>
      <xdr:col>13</xdr:col>
      <xdr:colOff>531</xdr:colOff>
      <xdr:row>28</xdr:row>
      <xdr:rowOff>10583</xdr:rowOff>
    </xdr:to>
    <xdr:sp macro="" textlink="">
      <xdr:nvSpPr>
        <xdr:cNvPr id="58" name="Shape 19">
          <a:extLst>
            <a:ext uri="{FF2B5EF4-FFF2-40B4-BE49-F238E27FC236}">
              <a16:creationId xmlns:a16="http://schemas.microsoft.com/office/drawing/2014/main" id="{C4E7A425-B595-4CC3-8084-006F7D0551F4}"/>
            </a:ext>
          </a:extLst>
        </xdr:cNvPr>
        <xdr:cNvSpPr/>
      </xdr:nvSpPr>
      <xdr:spPr>
        <a:xfrm>
          <a:off x="3073401" y="504444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74084</xdr:colOff>
      <xdr:row>27</xdr:row>
      <xdr:rowOff>0</xdr:rowOff>
    </xdr:from>
    <xdr:to>
      <xdr:col>19</xdr:col>
      <xdr:colOff>24872</xdr:colOff>
      <xdr:row>28</xdr:row>
      <xdr:rowOff>862</xdr:rowOff>
    </xdr:to>
    <xdr:sp macro="" textlink="">
      <xdr:nvSpPr>
        <xdr:cNvPr id="59" name="Shape 19">
          <a:extLst>
            <a:ext uri="{FF2B5EF4-FFF2-40B4-BE49-F238E27FC236}">
              <a16:creationId xmlns:a16="http://schemas.microsoft.com/office/drawing/2014/main" id="{BD74ED4A-2E29-4D5E-B5CA-C979184577DC}"/>
            </a:ext>
          </a:extLst>
        </xdr:cNvPr>
        <xdr:cNvSpPr/>
      </xdr:nvSpPr>
      <xdr:spPr>
        <a:xfrm>
          <a:off x="4630844" y="504444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29</xdr:row>
      <xdr:rowOff>6350</xdr:rowOff>
    </xdr:from>
    <xdr:to>
      <xdr:col>7</xdr:col>
      <xdr:colOff>402168</xdr:colOff>
      <xdr:row>30</xdr:row>
      <xdr:rowOff>7406</xdr:rowOff>
    </xdr:to>
    <xdr:sp macro="" textlink="">
      <xdr:nvSpPr>
        <xdr:cNvPr id="60" name="Shape 19">
          <a:extLst>
            <a:ext uri="{FF2B5EF4-FFF2-40B4-BE49-F238E27FC236}">
              <a16:creationId xmlns:a16="http://schemas.microsoft.com/office/drawing/2014/main" id="{34066282-064F-457C-B710-4738C93E621E}"/>
            </a:ext>
          </a:extLst>
        </xdr:cNvPr>
        <xdr:cNvSpPr/>
      </xdr:nvSpPr>
      <xdr:spPr>
        <a:xfrm>
          <a:off x="510540" y="530225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29</xdr:row>
      <xdr:rowOff>12700</xdr:rowOff>
    </xdr:from>
    <xdr:to>
      <xdr:col>13</xdr:col>
      <xdr:colOff>36090</xdr:colOff>
      <xdr:row>30</xdr:row>
      <xdr:rowOff>23283</xdr:rowOff>
    </xdr:to>
    <xdr:sp macro="" textlink="">
      <xdr:nvSpPr>
        <xdr:cNvPr id="61" name="Shape 19">
          <a:extLst>
            <a:ext uri="{FF2B5EF4-FFF2-40B4-BE49-F238E27FC236}">
              <a16:creationId xmlns:a16="http://schemas.microsoft.com/office/drawing/2014/main" id="{1CCB655B-B89C-4056-8476-3BC05C5A0D46}"/>
            </a:ext>
          </a:extLst>
        </xdr:cNvPr>
        <xdr:cNvSpPr/>
      </xdr:nvSpPr>
      <xdr:spPr>
        <a:xfrm>
          <a:off x="3108960" y="53086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10583</xdr:colOff>
      <xdr:row>29</xdr:row>
      <xdr:rowOff>0</xdr:rowOff>
    </xdr:from>
    <xdr:to>
      <xdr:col>19</xdr:col>
      <xdr:colOff>60431</xdr:colOff>
      <xdr:row>30</xdr:row>
      <xdr:rowOff>862</xdr:rowOff>
    </xdr:to>
    <xdr:sp macro="" textlink="">
      <xdr:nvSpPr>
        <xdr:cNvPr id="62" name="Shape 19">
          <a:extLst>
            <a:ext uri="{FF2B5EF4-FFF2-40B4-BE49-F238E27FC236}">
              <a16:creationId xmlns:a16="http://schemas.microsoft.com/office/drawing/2014/main" id="{B83B4856-0FC9-4F0D-938E-A659A058C2BC}"/>
            </a:ext>
          </a:extLst>
        </xdr:cNvPr>
        <xdr:cNvSpPr/>
      </xdr:nvSpPr>
      <xdr:spPr>
        <a:xfrm>
          <a:off x="4666403" y="529590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31</xdr:row>
      <xdr:rowOff>0</xdr:rowOff>
    </xdr:from>
    <xdr:to>
      <xdr:col>7</xdr:col>
      <xdr:colOff>402168</xdr:colOff>
      <xdr:row>32</xdr:row>
      <xdr:rowOff>1056</xdr:rowOff>
    </xdr:to>
    <xdr:sp macro="" textlink="">
      <xdr:nvSpPr>
        <xdr:cNvPr id="63" name="Shape 19">
          <a:extLst>
            <a:ext uri="{FF2B5EF4-FFF2-40B4-BE49-F238E27FC236}">
              <a16:creationId xmlns:a16="http://schemas.microsoft.com/office/drawing/2014/main" id="{CBB69721-CD46-4F1E-A10F-868EC04A3DA4}"/>
            </a:ext>
          </a:extLst>
        </xdr:cNvPr>
        <xdr:cNvSpPr/>
      </xdr:nvSpPr>
      <xdr:spPr>
        <a:xfrm>
          <a:off x="510540" y="560070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31</xdr:row>
      <xdr:rowOff>0</xdr:rowOff>
    </xdr:from>
    <xdr:to>
      <xdr:col>13</xdr:col>
      <xdr:colOff>36090</xdr:colOff>
      <xdr:row>32</xdr:row>
      <xdr:rowOff>10583</xdr:rowOff>
    </xdr:to>
    <xdr:sp macro="" textlink="">
      <xdr:nvSpPr>
        <xdr:cNvPr id="64" name="Shape 19">
          <a:extLst>
            <a:ext uri="{FF2B5EF4-FFF2-40B4-BE49-F238E27FC236}">
              <a16:creationId xmlns:a16="http://schemas.microsoft.com/office/drawing/2014/main" id="{536E70A0-AE39-4CA4-BA11-7DCF3B9448A8}"/>
            </a:ext>
          </a:extLst>
        </xdr:cNvPr>
        <xdr:cNvSpPr/>
      </xdr:nvSpPr>
      <xdr:spPr>
        <a:xfrm>
          <a:off x="3108960" y="56007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82550</xdr:colOff>
      <xdr:row>31</xdr:row>
      <xdr:rowOff>0</xdr:rowOff>
    </xdr:from>
    <xdr:to>
      <xdr:col>19</xdr:col>
      <xdr:colOff>30798</xdr:colOff>
      <xdr:row>32</xdr:row>
      <xdr:rowOff>862</xdr:rowOff>
    </xdr:to>
    <xdr:sp macro="" textlink="">
      <xdr:nvSpPr>
        <xdr:cNvPr id="65" name="Shape 19">
          <a:extLst>
            <a:ext uri="{FF2B5EF4-FFF2-40B4-BE49-F238E27FC236}">
              <a16:creationId xmlns:a16="http://schemas.microsoft.com/office/drawing/2014/main" id="{E283BB20-08E5-42E5-95B1-681F664D95E7}"/>
            </a:ext>
          </a:extLst>
        </xdr:cNvPr>
        <xdr:cNvSpPr/>
      </xdr:nvSpPr>
      <xdr:spPr>
        <a:xfrm>
          <a:off x="4639310" y="5600700"/>
          <a:ext cx="184562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481013</xdr:colOff>
      <xdr:row>50</xdr:row>
      <xdr:rowOff>47625</xdr:rowOff>
    </xdr:from>
    <xdr:to>
      <xdr:col>19</xdr:col>
      <xdr:colOff>94720</xdr:colOff>
      <xdr:row>57</xdr:row>
      <xdr:rowOff>16396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0DAA0D-20EB-0C46-BFA7-6F89E68097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6"/>
        <a:stretch/>
      </xdr:blipFill>
      <xdr:spPr>
        <a:xfrm>
          <a:off x="481013" y="8740775"/>
          <a:ext cx="6065307" cy="125782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83685</xdr:colOff>
      <xdr:row>12</xdr:row>
      <xdr:rowOff>36880</xdr:rowOff>
    </xdr:from>
    <xdr:to>
      <xdr:col>12</xdr:col>
      <xdr:colOff>209097</xdr:colOff>
      <xdr:row>12</xdr:row>
      <xdr:rowOff>239482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3F6A67C-B890-0148-AE45-25128B627A13}"/>
            </a:ext>
          </a:extLst>
        </xdr:cNvPr>
        <xdr:cNvSpPr/>
      </xdr:nvSpPr>
      <xdr:spPr>
        <a:xfrm>
          <a:off x="2915785" y="2526080"/>
          <a:ext cx="1928812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LICENCIA</a:t>
          </a:r>
        </a:p>
      </xdr:txBody>
    </xdr:sp>
    <xdr:clientData/>
  </xdr:twoCellAnchor>
  <xdr:twoCellAnchor editAs="absolute">
    <xdr:from>
      <xdr:col>14</xdr:col>
      <xdr:colOff>88130</xdr:colOff>
      <xdr:row>12</xdr:row>
      <xdr:rowOff>36880</xdr:rowOff>
    </xdr:from>
    <xdr:to>
      <xdr:col>18</xdr:col>
      <xdr:colOff>345305</xdr:colOff>
      <xdr:row>12</xdr:row>
      <xdr:rowOff>239482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82A373C1-2A18-274C-8D34-2A4FEEAA517B}"/>
            </a:ext>
          </a:extLst>
        </xdr:cNvPr>
        <xdr:cNvSpPr/>
      </xdr:nvSpPr>
      <xdr:spPr>
        <a:xfrm>
          <a:off x="5180830" y="2526080"/>
          <a:ext cx="1895475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AUSENCIA</a:t>
          </a:r>
        </a:p>
      </xdr:txBody>
    </xdr:sp>
    <xdr:clientData/>
  </xdr:twoCellAnchor>
  <xdr:twoCellAnchor editAs="absolute">
    <xdr:from>
      <xdr:col>1</xdr:col>
      <xdr:colOff>357188</xdr:colOff>
      <xdr:row>17</xdr:row>
      <xdr:rowOff>2007</xdr:rowOff>
    </xdr:from>
    <xdr:to>
      <xdr:col>7</xdr:col>
      <xdr:colOff>74160</xdr:colOff>
      <xdr:row>17</xdr:row>
      <xdr:rowOff>200567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C6B6FFD0-8497-4146-9C9C-727D352A97AD}"/>
            </a:ext>
          </a:extLst>
        </xdr:cNvPr>
        <xdr:cNvSpPr/>
      </xdr:nvSpPr>
      <xdr:spPr>
        <a:xfrm>
          <a:off x="928688" y="3443707"/>
          <a:ext cx="1977572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DETALLES:</a:t>
          </a:r>
        </a:p>
      </xdr:txBody>
    </xdr:sp>
    <xdr:clientData/>
  </xdr:twoCellAnchor>
  <xdr:twoCellAnchor editAs="absolute">
    <xdr:from>
      <xdr:col>7</xdr:col>
      <xdr:colOff>369435</xdr:colOff>
      <xdr:row>17</xdr:row>
      <xdr:rowOff>407</xdr:rowOff>
    </xdr:from>
    <xdr:to>
      <xdr:col>15</xdr:col>
      <xdr:colOff>2405</xdr:colOff>
      <xdr:row>17</xdr:row>
      <xdr:rowOff>191042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7E13F142-757A-484E-BDDF-055837ECE445}"/>
            </a:ext>
          </a:extLst>
        </xdr:cNvPr>
        <xdr:cNvSpPr/>
      </xdr:nvSpPr>
      <xdr:spPr>
        <a:xfrm>
          <a:off x="3201535" y="3432582"/>
          <a:ext cx="2007870" cy="200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HABERES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15</xdr:col>
      <xdr:colOff>2405</xdr:colOff>
      <xdr:row>17</xdr:row>
      <xdr:rowOff>2008</xdr:rowOff>
    </xdr:from>
    <xdr:to>
      <xdr:col>18</xdr:col>
      <xdr:colOff>354830</xdr:colOff>
      <xdr:row>17</xdr:row>
      <xdr:rowOff>200568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7CE8380-9E73-2046-A2A2-3859820834DA}"/>
            </a:ext>
          </a:extLst>
        </xdr:cNvPr>
        <xdr:cNvSpPr/>
      </xdr:nvSpPr>
      <xdr:spPr>
        <a:xfrm>
          <a:off x="5209405" y="3443708"/>
          <a:ext cx="1876425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DESCUENTO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</xdr:col>
      <xdr:colOff>0</xdr:colOff>
      <xdr:row>21</xdr:row>
      <xdr:rowOff>184</xdr:rowOff>
    </xdr:from>
    <xdr:to>
      <xdr:col>7</xdr:col>
      <xdr:colOff>440872</xdr:colOff>
      <xdr:row>22</xdr:row>
      <xdr:rowOff>2271</xdr:rowOff>
    </xdr:to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915F6FBF-618B-9144-B0E5-501EF2E764DC}"/>
            </a:ext>
          </a:extLst>
        </xdr:cNvPr>
        <xdr:cNvSpPr/>
      </xdr:nvSpPr>
      <xdr:spPr>
        <a:xfrm>
          <a:off x="571500" y="4153084"/>
          <a:ext cx="2701472" cy="19258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22298</xdr:colOff>
      <xdr:row>21</xdr:row>
      <xdr:rowOff>3542</xdr:rowOff>
    </xdr:from>
    <xdr:to>
      <xdr:col>13</xdr:col>
      <xdr:colOff>28120</xdr:colOff>
      <xdr:row>22</xdr:row>
      <xdr:rowOff>5711</xdr:rowOff>
    </xdr:to>
    <xdr:sp macro="" textlink="">
      <xdr:nvSpPr>
        <xdr:cNvPr id="9" name="Shape 19">
          <a:extLst>
            <a:ext uri="{FF2B5EF4-FFF2-40B4-BE49-F238E27FC236}">
              <a16:creationId xmlns:a16="http://schemas.microsoft.com/office/drawing/2014/main" id="{79C8BC34-D081-124A-BB74-BFA1265B2787}"/>
            </a:ext>
          </a:extLst>
        </xdr:cNvPr>
        <xdr:cNvSpPr/>
      </xdr:nvSpPr>
      <xdr:spPr>
        <a:xfrm>
          <a:off x="3502098" y="4156442"/>
          <a:ext cx="1517122" cy="19266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62196</xdr:colOff>
      <xdr:row>21</xdr:row>
      <xdr:rowOff>184</xdr:rowOff>
    </xdr:from>
    <xdr:to>
      <xdr:col>19</xdr:col>
      <xdr:colOff>14572</xdr:colOff>
      <xdr:row>22</xdr:row>
      <xdr:rowOff>2190</xdr:rowOff>
    </xdr:to>
    <xdr:sp macro="" textlink="">
      <xdr:nvSpPr>
        <xdr:cNvPr id="10" name="Shape 19">
          <a:extLst>
            <a:ext uri="{FF2B5EF4-FFF2-40B4-BE49-F238E27FC236}">
              <a16:creationId xmlns:a16="http://schemas.microsoft.com/office/drawing/2014/main" id="{45327AAB-F2EC-1042-B873-F4B839E86B61}"/>
            </a:ext>
          </a:extLst>
        </xdr:cNvPr>
        <xdr:cNvSpPr/>
      </xdr:nvSpPr>
      <xdr:spPr>
        <a:xfrm>
          <a:off x="5154896" y="4153084"/>
          <a:ext cx="2073276" cy="1925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23</xdr:row>
      <xdr:rowOff>853</xdr:rowOff>
    </xdr:from>
    <xdr:to>
      <xdr:col>7</xdr:col>
      <xdr:colOff>440872</xdr:colOff>
      <xdr:row>24</xdr:row>
      <xdr:rowOff>1796</xdr:rowOff>
    </xdr:to>
    <xdr:sp macro="" textlink="">
      <xdr:nvSpPr>
        <xdr:cNvPr id="11" name="Shape 19">
          <a:extLst>
            <a:ext uri="{FF2B5EF4-FFF2-40B4-BE49-F238E27FC236}">
              <a16:creationId xmlns:a16="http://schemas.microsoft.com/office/drawing/2014/main" id="{21C2A463-A080-1444-828B-B013B445CA94}"/>
            </a:ext>
          </a:extLst>
        </xdr:cNvPr>
        <xdr:cNvSpPr/>
      </xdr:nvSpPr>
      <xdr:spPr>
        <a:xfrm>
          <a:off x="571500" y="4395053"/>
          <a:ext cx="2701472" cy="19144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79979</xdr:colOff>
      <xdr:row>23</xdr:row>
      <xdr:rowOff>3541</xdr:rowOff>
    </xdr:from>
    <xdr:to>
      <xdr:col>13</xdr:col>
      <xdr:colOff>14892</xdr:colOff>
      <xdr:row>24</xdr:row>
      <xdr:rowOff>5236</xdr:rowOff>
    </xdr:to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B47C5847-3FE2-7246-960A-B4727E03EE49}"/>
            </a:ext>
          </a:extLst>
        </xdr:cNvPr>
        <xdr:cNvSpPr/>
      </xdr:nvSpPr>
      <xdr:spPr>
        <a:xfrm>
          <a:off x="3445479" y="4397741"/>
          <a:ext cx="1560513" cy="19219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74367</xdr:colOff>
      <xdr:row>23</xdr:row>
      <xdr:rowOff>853</xdr:rowOff>
    </xdr:from>
    <xdr:to>
      <xdr:col>19</xdr:col>
      <xdr:colOff>25155</xdr:colOff>
      <xdr:row>24</xdr:row>
      <xdr:rowOff>1715</xdr:rowOff>
    </xdr:to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DC3CB5E2-7452-B943-B37E-56E77D6EFE56}"/>
            </a:ext>
          </a:extLst>
        </xdr:cNvPr>
        <xdr:cNvSpPr/>
      </xdr:nvSpPr>
      <xdr:spPr>
        <a:xfrm>
          <a:off x="5167067" y="4395053"/>
          <a:ext cx="2071688" cy="19136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442915</xdr:colOff>
      <xdr:row>33</xdr:row>
      <xdr:rowOff>45583</xdr:rowOff>
    </xdr:from>
    <xdr:to>
      <xdr:col>7</xdr:col>
      <xdr:colOff>398012</xdr:colOff>
      <xdr:row>34</xdr:row>
      <xdr:rowOff>43728</xdr:rowOff>
    </xdr:to>
    <xdr:sp macro="" textlink="">
      <xdr:nvSpPr>
        <xdr:cNvPr id="14" name="Shape 19">
          <a:extLst>
            <a:ext uri="{FF2B5EF4-FFF2-40B4-BE49-F238E27FC236}">
              <a16:creationId xmlns:a16="http://schemas.microsoft.com/office/drawing/2014/main" id="{B83E009D-BA50-BD4F-81D3-0572CA1DA989}"/>
            </a:ext>
          </a:extLst>
        </xdr:cNvPr>
        <xdr:cNvSpPr/>
      </xdr:nvSpPr>
      <xdr:spPr>
        <a:xfrm>
          <a:off x="442915" y="5881233"/>
          <a:ext cx="2482397" cy="19499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26534</xdr:colOff>
      <xdr:row>33</xdr:row>
      <xdr:rowOff>56457</xdr:rowOff>
    </xdr:from>
    <xdr:to>
      <xdr:col>12</xdr:col>
      <xdr:colOff>269422</xdr:colOff>
      <xdr:row>34</xdr:row>
      <xdr:rowOff>46822</xdr:rowOff>
    </xdr:to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729C831B-E64E-0B45-B9E3-0EBE38558F2E}"/>
            </a:ext>
          </a:extLst>
        </xdr:cNvPr>
        <xdr:cNvSpPr/>
      </xdr:nvSpPr>
      <xdr:spPr>
        <a:xfrm>
          <a:off x="3036434" y="5892107"/>
          <a:ext cx="1379538" cy="18721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9311</xdr:colOff>
      <xdr:row>33</xdr:row>
      <xdr:rowOff>42332</xdr:rowOff>
    </xdr:from>
    <xdr:to>
      <xdr:col>19</xdr:col>
      <xdr:colOff>37854</xdr:colOff>
      <xdr:row>34</xdr:row>
      <xdr:rowOff>33064</xdr:rowOff>
    </xdr:to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DC19439C-1491-7143-934F-001EDA9B4D6D}"/>
            </a:ext>
          </a:extLst>
        </xdr:cNvPr>
        <xdr:cNvSpPr/>
      </xdr:nvSpPr>
      <xdr:spPr>
        <a:xfrm>
          <a:off x="4663861" y="5877982"/>
          <a:ext cx="1825593" cy="1875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442913</xdr:colOff>
      <xdr:row>35</xdr:row>
      <xdr:rowOff>29088</xdr:rowOff>
    </xdr:from>
    <xdr:to>
      <xdr:col>7</xdr:col>
      <xdr:colOff>398010</xdr:colOff>
      <xdr:row>36</xdr:row>
      <xdr:rowOff>37836</xdr:rowOff>
    </xdr:to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F0AA6B5E-131C-7747-B19F-8E1F11D77288}"/>
            </a:ext>
          </a:extLst>
        </xdr:cNvPr>
        <xdr:cNvSpPr/>
      </xdr:nvSpPr>
      <xdr:spPr>
        <a:xfrm>
          <a:off x="442913" y="6125088"/>
          <a:ext cx="2482397" cy="199248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57226</xdr:colOff>
      <xdr:row>35</xdr:row>
      <xdr:rowOff>35293</xdr:rowOff>
    </xdr:from>
    <xdr:to>
      <xdr:col>12</xdr:col>
      <xdr:colOff>269211</xdr:colOff>
      <xdr:row>36</xdr:row>
      <xdr:rowOff>35645</xdr:rowOff>
    </xdr:to>
    <xdr:sp macro="" textlink="">
      <xdr:nvSpPr>
        <xdr:cNvPr id="18" name="Shape 19">
          <a:extLst>
            <a:ext uri="{FF2B5EF4-FFF2-40B4-BE49-F238E27FC236}">
              <a16:creationId xmlns:a16="http://schemas.microsoft.com/office/drawing/2014/main" id="{DE7A69E8-1271-1F40-8F69-93CDBC04D0EC}"/>
            </a:ext>
          </a:extLst>
        </xdr:cNvPr>
        <xdr:cNvSpPr/>
      </xdr:nvSpPr>
      <xdr:spPr>
        <a:xfrm>
          <a:off x="3067126" y="6131293"/>
          <a:ext cx="1348635" cy="190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0</xdr:colOff>
      <xdr:row>35</xdr:row>
      <xdr:rowOff>42332</xdr:rowOff>
    </xdr:from>
    <xdr:to>
      <xdr:col>19</xdr:col>
      <xdr:colOff>63258</xdr:colOff>
      <xdr:row>36</xdr:row>
      <xdr:rowOff>27705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E4AE146D-2A35-5444-B98A-CEFEBB85065C}"/>
            </a:ext>
          </a:extLst>
        </xdr:cNvPr>
        <xdr:cNvSpPr/>
      </xdr:nvSpPr>
      <xdr:spPr>
        <a:xfrm>
          <a:off x="4654550" y="6138332"/>
          <a:ext cx="1860308" cy="17587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442913</xdr:colOff>
      <xdr:row>37</xdr:row>
      <xdr:rowOff>32359</xdr:rowOff>
    </xdr:from>
    <xdr:to>
      <xdr:col>7</xdr:col>
      <xdr:colOff>398010</xdr:colOff>
      <xdr:row>38</xdr:row>
      <xdr:rowOff>37872</xdr:rowOff>
    </xdr:to>
    <xdr:sp macro="" textlink="">
      <xdr:nvSpPr>
        <xdr:cNvPr id="20" name="Shape 19">
          <a:extLst>
            <a:ext uri="{FF2B5EF4-FFF2-40B4-BE49-F238E27FC236}">
              <a16:creationId xmlns:a16="http://schemas.microsoft.com/office/drawing/2014/main" id="{A4BA63D8-94C4-F544-84F2-2D4FCEC4D846}"/>
            </a:ext>
          </a:extLst>
        </xdr:cNvPr>
        <xdr:cNvSpPr/>
      </xdr:nvSpPr>
      <xdr:spPr>
        <a:xfrm>
          <a:off x="442913" y="6395059"/>
          <a:ext cx="2482397" cy="2023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34471</xdr:colOff>
      <xdr:row>37</xdr:row>
      <xdr:rowOff>18602</xdr:rowOff>
    </xdr:from>
    <xdr:to>
      <xdr:col>12</xdr:col>
      <xdr:colOff>268288</xdr:colOff>
      <xdr:row>38</xdr:row>
      <xdr:rowOff>18521</xdr:rowOff>
    </xdr:to>
    <xdr:sp macro="" textlink="">
      <xdr:nvSpPr>
        <xdr:cNvPr id="21" name="Shape 19">
          <a:extLst>
            <a:ext uri="{FF2B5EF4-FFF2-40B4-BE49-F238E27FC236}">
              <a16:creationId xmlns:a16="http://schemas.microsoft.com/office/drawing/2014/main" id="{C5EA7861-65B3-C241-93CF-74072F9F6892}"/>
            </a:ext>
          </a:extLst>
        </xdr:cNvPr>
        <xdr:cNvSpPr/>
      </xdr:nvSpPr>
      <xdr:spPr>
        <a:xfrm>
          <a:off x="3044371" y="6381302"/>
          <a:ext cx="1370467" cy="19676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4235</xdr:colOff>
      <xdr:row>37</xdr:row>
      <xdr:rowOff>21777</xdr:rowOff>
    </xdr:from>
    <xdr:to>
      <xdr:col>19</xdr:col>
      <xdr:colOff>91303</xdr:colOff>
      <xdr:row>38</xdr:row>
      <xdr:rowOff>21166</xdr:rowOff>
    </xdr:to>
    <xdr:sp macro="" textlink="">
      <xdr:nvSpPr>
        <xdr:cNvPr id="22" name="Shape 19">
          <a:extLst>
            <a:ext uri="{FF2B5EF4-FFF2-40B4-BE49-F238E27FC236}">
              <a16:creationId xmlns:a16="http://schemas.microsoft.com/office/drawing/2014/main" id="{81427E93-63AF-0B48-BABD-1CE0D9E756A0}"/>
            </a:ext>
          </a:extLst>
        </xdr:cNvPr>
        <xdr:cNvSpPr/>
      </xdr:nvSpPr>
      <xdr:spPr>
        <a:xfrm>
          <a:off x="4652435" y="6384477"/>
          <a:ext cx="1890468" cy="19623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423865</xdr:colOff>
      <xdr:row>39</xdr:row>
      <xdr:rowOff>4222</xdr:rowOff>
    </xdr:from>
    <xdr:to>
      <xdr:col>7</xdr:col>
      <xdr:colOff>378962</xdr:colOff>
      <xdr:row>40</xdr:row>
      <xdr:rowOff>29312</xdr:rowOff>
    </xdr:to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6CAADBE0-8471-6347-AB23-CB9987E879F1}"/>
            </a:ext>
          </a:extLst>
        </xdr:cNvPr>
        <xdr:cNvSpPr/>
      </xdr:nvSpPr>
      <xdr:spPr>
        <a:xfrm>
          <a:off x="423865" y="6678072"/>
          <a:ext cx="2482397" cy="20924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26534</xdr:colOff>
      <xdr:row>38</xdr:row>
      <xdr:rowOff>90854</xdr:rowOff>
    </xdr:from>
    <xdr:to>
      <xdr:col>12</xdr:col>
      <xdr:colOff>269422</xdr:colOff>
      <xdr:row>39</xdr:row>
      <xdr:rowOff>165573</xdr:rowOff>
    </xdr:to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1FD0B1DE-F7E0-3F42-BE97-62AC29C9642B}"/>
            </a:ext>
          </a:extLst>
        </xdr:cNvPr>
        <xdr:cNvSpPr/>
      </xdr:nvSpPr>
      <xdr:spPr>
        <a:xfrm>
          <a:off x="3036434" y="6650404"/>
          <a:ext cx="1379538" cy="18901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15633</xdr:colOff>
      <xdr:row>38</xdr:row>
      <xdr:rowOff>68781</xdr:rowOff>
    </xdr:from>
    <xdr:to>
      <xdr:col>19</xdr:col>
      <xdr:colOff>88658</xdr:colOff>
      <xdr:row>39</xdr:row>
      <xdr:rowOff>159407</xdr:rowOff>
    </xdr:to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5A4F7482-DB5D-664C-8D1C-38E3120FC424}"/>
            </a:ext>
          </a:extLst>
        </xdr:cNvPr>
        <xdr:cNvSpPr/>
      </xdr:nvSpPr>
      <xdr:spPr>
        <a:xfrm>
          <a:off x="4670183" y="6628331"/>
          <a:ext cx="1870075" cy="2049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87313</xdr:colOff>
      <xdr:row>40</xdr:row>
      <xdr:rowOff>187304</xdr:rowOff>
    </xdr:from>
    <xdr:to>
      <xdr:col>13</xdr:col>
      <xdr:colOff>3176</xdr:colOff>
      <xdr:row>42</xdr:row>
      <xdr:rowOff>48732</xdr:rowOff>
    </xdr:to>
    <xdr:sp macro="" textlink="'Liquidacion Filip Carrasco'!C19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DC1DA29B-FA99-EE49-8D40-E95ACB698B94}"/>
            </a:ext>
          </a:extLst>
        </xdr:cNvPr>
        <xdr:cNvSpPr/>
      </xdr:nvSpPr>
      <xdr:spPr>
        <a:xfrm>
          <a:off x="3097213" y="7045304"/>
          <a:ext cx="1370013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15</xdr:col>
      <xdr:colOff>1236</xdr:colOff>
      <xdr:row>40</xdr:row>
      <xdr:rowOff>176721</xdr:rowOff>
    </xdr:from>
    <xdr:to>
      <xdr:col>19</xdr:col>
      <xdr:colOff>43918</xdr:colOff>
      <xdr:row>42</xdr:row>
      <xdr:rowOff>38149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93B402CE-6D9E-3E48-904A-A1126D5221B4}"/>
            </a:ext>
          </a:extLst>
        </xdr:cNvPr>
        <xdr:cNvSpPr/>
      </xdr:nvSpPr>
      <xdr:spPr>
        <a:xfrm>
          <a:off x="5192996" y="6831521"/>
          <a:ext cx="2064522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0</xdr:col>
      <xdr:colOff>490976</xdr:colOff>
      <xdr:row>42</xdr:row>
      <xdr:rowOff>132644</xdr:rowOff>
    </xdr:from>
    <xdr:to>
      <xdr:col>7</xdr:col>
      <xdr:colOff>241299</xdr:colOff>
      <xdr:row>44</xdr:row>
      <xdr:rowOff>25399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9FE43C6A-C4C5-6A45-A095-C67665A02133}"/>
            </a:ext>
          </a:extLst>
        </xdr:cNvPr>
        <xdr:cNvSpPr/>
      </xdr:nvSpPr>
      <xdr:spPr>
        <a:xfrm>
          <a:off x="490976" y="7358944"/>
          <a:ext cx="2277623" cy="222955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0</xdr:col>
      <xdr:colOff>490976</xdr:colOff>
      <xdr:row>40</xdr:row>
      <xdr:rowOff>171984</xdr:rowOff>
    </xdr:from>
    <xdr:to>
      <xdr:col>7</xdr:col>
      <xdr:colOff>198436</xdr:colOff>
      <xdr:row>42</xdr:row>
      <xdr:rowOff>28920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2D8B25AE-82D2-0B4E-9EF9-8BCFAF052951}"/>
            </a:ext>
          </a:extLst>
        </xdr:cNvPr>
        <xdr:cNvSpPr/>
      </xdr:nvSpPr>
      <xdr:spPr>
        <a:xfrm>
          <a:off x="490976" y="6826784"/>
          <a:ext cx="2539560" cy="225236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53975</xdr:colOff>
      <xdr:row>40</xdr:row>
      <xdr:rowOff>207718</xdr:rowOff>
    </xdr:from>
    <xdr:to>
      <xdr:col>5</xdr:col>
      <xdr:colOff>568098</xdr:colOff>
      <xdr:row>42</xdr:row>
      <xdr:rowOff>25325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0625C63B-3E40-4247-878E-FA98C87B026A}"/>
            </a:ext>
          </a:extLst>
        </xdr:cNvPr>
        <xdr:cNvSpPr/>
      </xdr:nvSpPr>
      <xdr:spPr>
        <a:xfrm>
          <a:off x="625475" y="6862518"/>
          <a:ext cx="2000023" cy="185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TOTALES:</a:t>
          </a:r>
        </a:p>
      </xdr:txBody>
    </xdr:sp>
    <xdr:clientData/>
  </xdr:twoCellAnchor>
  <xdr:twoCellAnchor editAs="absolute">
    <xdr:from>
      <xdr:col>1</xdr:col>
      <xdr:colOff>12701</xdr:colOff>
      <xdr:row>43</xdr:row>
      <xdr:rowOff>18887</xdr:rowOff>
    </xdr:from>
    <xdr:to>
      <xdr:col>5</xdr:col>
      <xdr:colOff>526824</xdr:colOff>
      <xdr:row>44</xdr:row>
      <xdr:rowOff>11126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AC13C5DB-DD37-8343-AC47-9DC485DA2952}"/>
            </a:ext>
          </a:extLst>
        </xdr:cNvPr>
        <xdr:cNvSpPr/>
      </xdr:nvSpPr>
      <xdr:spPr>
        <a:xfrm>
          <a:off x="584201" y="7181687"/>
          <a:ext cx="2000023" cy="1827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 A PAGAR:</a:t>
          </a:r>
        </a:p>
      </xdr:txBody>
    </xdr:sp>
    <xdr:clientData/>
  </xdr:twoCellAnchor>
  <xdr:twoCellAnchor editAs="absolute">
    <xdr:from>
      <xdr:col>8</xdr:col>
      <xdr:colOff>84667</xdr:colOff>
      <xdr:row>42</xdr:row>
      <xdr:rowOff>122057</xdr:rowOff>
    </xdr:from>
    <xdr:to>
      <xdr:col>19</xdr:col>
      <xdr:colOff>31750</xdr:colOff>
      <xdr:row>44</xdr:row>
      <xdr:rowOff>1902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333ED87F-8897-274C-A01C-B222B3F2E653}"/>
            </a:ext>
          </a:extLst>
        </xdr:cNvPr>
        <xdr:cNvSpPr/>
      </xdr:nvSpPr>
      <xdr:spPr>
        <a:xfrm>
          <a:off x="3094567" y="7348357"/>
          <a:ext cx="3388783" cy="20687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-</a:t>
          </a:r>
        </a:p>
      </xdr:txBody>
    </xdr:sp>
    <xdr:clientData/>
  </xdr:twoCellAnchor>
  <xdr:twoCellAnchor editAs="absolute">
    <xdr:from>
      <xdr:col>1</xdr:col>
      <xdr:colOff>1838</xdr:colOff>
      <xdr:row>7</xdr:row>
      <xdr:rowOff>7493</xdr:rowOff>
    </xdr:from>
    <xdr:to>
      <xdr:col>2</xdr:col>
      <xdr:colOff>34290</xdr:colOff>
      <xdr:row>7</xdr:row>
      <xdr:rowOff>186081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EF4E3A84-0010-9A4D-B43F-219A169862AA}"/>
            </a:ext>
          </a:extLst>
        </xdr:cNvPr>
        <xdr:cNvSpPr/>
      </xdr:nvSpPr>
      <xdr:spPr>
        <a:xfrm>
          <a:off x="573338" y="1340993"/>
          <a:ext cx="578552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1837</xdr:colOff>
      <xdr:row>8</xdr:row>
      <xdr:rowOff>71438</xdr:rowOff>
    </xdr:from>
    <xdr:to>
      <xdr:col>3</xdr:col>
      <xdr:colOff>103187</xdr:colOff>
      <xdr:row>9</xdr:row>
      <xdr:rowOff>1111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2574790E-F0E6-614E-A005-9C00CF5C2B2F}"/>
            </a:ext>
          </a:extLst>
        </xdr:cNvPr>
        <xdr:cNvSpPr/>
      </xdr:nvSpPr>
      <xdr:spPr>
        <a:xfrm>
          <a:off x="573337" y="1595438"/>
          <a:ext cx="850650" cy="13287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NOMBRE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1838</xdr:colOff>
      <xdr:row>9</xdr:row>
      <xdr:rowOff>65256</xdr:rowOff>
    </xdr:from>
    <xdr:to>
      <xdr:col>5</xdr:col>
      <xdr:colOff>92256</xdr:colOff>
      <xdr:row>10</xdr:row>
      <xdr:rowOff>3602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1840BC43-9590-6A49-BC28-7953F63E6CB4}"/>
            </a:ext>
          </a:extLst>
        </xdr:cNvPr>
        <xdr:cNvSpPr/>
      </xdr:nvSpPr>
      <xdr:spPr>
        <a:xfrm>
          <a:off x="573338" y="1792456"/>
          <a:ext cx="1576318" cy="15424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FECHA DE INGRESO:</a:t>
          </a:r>
        </a:p>
      </xdr:txBody>
    </xdr:sp>
    <xdr:clientData/>
  </xdr:twoCellAnchor>
  <xdr:twoCellAnchor editAs="absolute">
    <xdr:from>
      <xdr:col>1</xdr:col>
      <xdr:colOff>1838</xdr:colOff>
      <xdr:row>10</xdr:row>
      <xdr:rowOff>51122</xdr:rowOff>
    </xdr:from>
    <xdr:to>
      <xdr:col>3</xdr:col>
      <xdr:colOff>2993</xdr:colOff>
      <xdr:row>11</xdr:row>
      <xdr:rowOff>1110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4AB57EAF-CB81-F248-9EFE-365EB7696916}"/>
            </a:ext>
          </a:extLst>
        </xdr:cNvPr>
        <xdr:cNvSpPr/>
      </xdr:nvSpPr>
      <xdr:spPr>
        <a:xfrm>
          <a:off x="573338" y="1994222"/>
          <a:ext cx="750455" cy="1531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CARGO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3810</xdr:colOff>
      <xdr:row>12</xdr:row>
      <xdr:rowOff>13335</xdr:rowOff>
    </xdr:from>
    <xdr:to>
      <xdr:col>5</xdr:col>
      <xdr:colOff>576911</xdr:colOff>
      <xdr:row>13</xdr:row>
      <xdr:rowOff>320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48752330-5AB7-E141-9D30-3154ED9F21FD}"/>
            </a:ext>
          </a:extLst>
        </xdr:cNvPr>
        <xdr:cNvSpPr/>
      </xdr:nvSpPr>
      <xdr:spPr>
        <a:xfrm>
          <a:off x="575310" y="2502535"/>
          <a:ext cx="2059001" cy="22828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TRABAJADOS:</a:t>
          </a:r>
        </a:p>
      </xdr:txBody>
    </xdr:sp>
    <xdr:clientData/>
  </xdr:twoCellAnchor>
  <xdr:twoCellAnchor editAs="absolute">
    <xdr:from>
      <xdr:col>7</xdr:col>
      <xdr:colOff>14152</xdr:colOff>
      <xdr:row>12</xdr:row>
      <xdr:rowOff>13335</xdr:rowOff>
    </xdr:from>
    <xdr:to>
      <xdr:col>13</xdr:col>
      <xdr:colOff>4549</xdr:colOff>
      <xdr:row>13</xdr:row>
      <xdr:rowOff>320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1C373FD7-BA55-0943-A78B-2EDAF26A71D0}"/>
            </a:ext>
          </a:extLst>
        </xdr:cNvPr>
        <xdr:cNvSpPr/>
      </xdr:nvSpPr>
      <xdr:spPr>
        <a:xfrm>
          <a:off x="2846252" y="2502535"/>
          <a:ext cx="2149397" cy="22828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LICENCIA:</a:t>
          </a:r>
        </a:p>
      </xdr:txBody>
    </xdr:sp>
    <xdr:clientData/>
  </xdr:twoCellAnchor>
  <xdr:twoCellAnchor editAs="absolute">
    <xdr:from>
      <xdr:col>14</xdr:col>
      <xdr:colOff>35742</xdr:colOff>
      <xdr:row>12</xdr:row>
      <xdr:rowOff>13335</xdr:rowOff>
    </xdr:from>
    <xdr:to>
      <xdr:col>18</xdr:col>
      <xdr:colOff>416982</xdr:colOff>
      <xdr:row>13</xdr:row>
      <xdr:rowOff>320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0EEEE079-691F-424F-B0E8-AA2F0AB78EF9}"/>
            </a:ext>
          </a:extLst>
        </xdr:cNvPr>
        <xdr:cNvSpPr/>
      </xdr:nvSpPr>
      <xdr:spPr>
        <a:xfrm>
          <a:off x="5128442" y="2502535"/>
          <a:ext cx="2019540" cy="22828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AUSENCIA:</a:t>
          </a:r>
        </a:p>
      </xdr:txBody>
    </xdr:sp>
    <xdr:clientData/>
  </xdr:twoCellAnchor>
  <xdr:twoCellAnchor editAs="absolute">
    <xdr:from>
      <xdr:col>1</xdr:col>
      <xdr:colOff>3810</xdr:colOff>
      <xdr:row>14</xdr:row>
      <xdr:rowOff>9525</xdr:rowOff>
    </xdr:from>
    <xdr:to>
      <xdr:col>5</xdr:col>
      <xdr:colOff>576911</xdr:colOff>
      <xdr:row>15</xdr:row>
      <xdr:rowOff>265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8CC8536B-1E59-DE43-9BC0-08776D09897A}"/>
            </a:ext>
          </a:extLst>
        </xdr:cNvPr>
        <xdr:cNvSpPr/>
      </xdr:nvSpPr>
      <xdr:spPr>
        <a:xfrm>
          <a:off x="575310" y="2790825"/>
          <a:ext cx="2059001" cy="21934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7</xdr:col>
      <xdr:colOff>14152</xdr:colOff>
      <xdr:row>14</xdr:row>
      <xdr:rowOff>9525</xdr:rowOff>
    </xdr:from>
    <xdr:to>
      <xdr:col>13</xdr:col>
      <xdr:colOff>4549</xdr:colOff>
      <xdr:row>15</xdr:row>
      <xdr:rowOff>265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00C4A0C2-7F2D-6343-B311-69495F0177F7}"/>
            </a:ext>
          </a:extLst>
        </xdr:cNvPr>
        <xdr:cNvSpPr/>
      </xdr:nvSpPr>
      <xdr:spPr>
        <a:xfrm>
          <a:off x="2846252" y="2790825"/>
          <a:ext cx="2149397" cy="21934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14</xdr:col>
      <xdr:colOff>9600</xdr:colOff>
      <xdr:row>14</xdr:row>
      <xdr:rowOff>9525</xdr:rowOff>
    </xdr:from>
    <xdr:to>
      <xdr:col>18</xdr:col>
      <xdr:colOff>418887</xdr:colOff>
      <xdr:row>15</xdr:row>
      <xdr:rowOff>265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8166F20A-59C3-D940-88C0-AA4E9D278DE6}"/>
            </a:ext>
          </a:extLst>
        </xdr:cNvPr>
        <xdr:cNvSpPr/>
      </xdr:nvSpPr>
      <xdr:spPr>
        <a:xfrm>
          <a:off x="5102300" y="2790825"/>
          <a:ext cx="2047587" cy="21934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</xdr:col>
      <xdr:colOff>3810</xdr:colOff>
      <xdr:row>16</xdr:row>
      <xdr:rowOff>179070</xdr:rowOff>
    </xdr:from>
    <xdr:to>
      <xdr:col>7</xdr:col>
      <xdr:colOff>454207</xdr:colOff>
      <xdr:row>18</xdr:row>
      <xdr:rowOff>17040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7654E250-6153-4444-80DF-6FE46BEDBFE1}"/>
            </a:ext>
          </a:extLst>
        </xdr:cNvPr>
        <xdr:cNvSpPr/>
      </xdr:nvSpPr>
      <xdr:spPr>
        <a:xfrm>
          <a:off x="575310" y="3430270"/>
          <a:ext cx="2710997" cy="23167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DETALLE:</a:t>
          </a:r>
        </a:p>
      </xdr:txBody>
    </xdr:sp>
    <xdr:clientData/>
  </xdr:twoCellAnchor>
  <xdr:twoCellAnchor editAs="absolute">
    <xdr:from>
      <xdr:col>8</xdr:col>
      <xdr:colOff>78921</xdr:colOff>
      <xdr:row>16</xdr:row>
      <xdr:rowOff>179070</xdr:rowOff>
    </xdr:from>
    <xdr:to>
      <xdr:col>13</xdr:col>
      <xdr:colOff>1607</xdr:colOff>
      <xdr:row>18</xdr:row>
      <xdr:rowOff>17040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D4A97AE5-8CF5-F641-86A8-C687375D4CF4}"/>
            </a:ext>
          </a:extLst>
        </xdr:cNvPr>
        <xdr:cNvSpPr/>
      </xdr:nvSpPr>
      <xdr:spPr>
        <a:xfrm>
          <a:off x="3444421" y="3430270"/>
          <a:ext cx="1548286" cy="23167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HABERES:</a:t>
          </a:r>
        </a:p>
      </xdr:txBody>
    </xdr:sp>
    <xdr:clientData/>
  </xdr:twoCellAnchor>
  <xdr:twoCellAnchor editAs="absolute">
    <xdr:from>
      <xdr:col>14</xdr:col>
      <xdr:colOff>1980</xdr:colOff>
      <xdr:row>16</xdr:row>
      <xdr:rowOff>179070</xdr:rowOff>
    </xdr:from>
    <xdr:to>
      <xdr:col>19</xdr:col>
      <xdr:colOff>921</xdr:colOff>
      <xdr:row>18</xdr:row>
      <xdr:rowOff>17040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CF0EE00C-F35D-6247-BB3D-736B10865142}"/>
            </a:ext>
          </a:extLst>
        </xdr:cNvPr>
        <xdr:cNvSpPr/>
      </xdr:nvSpPr>
      <xdr:spPr>
        <a:xfrm>
          <a:off x="5094680" y="3430270"/>
          <a:ext cx="2119841" cy="23167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DESCUENTO:</a:t>
          </a:r>
        </a:p>
      </xdr:txBody>
    </xdr:sp>
    <xdr:clientData/>
  </xdr:twoCellAnchor>
  <xdr:twoCellAnchor editAs="absolute">
    <xdr:from>
      <xdr:col>10</xdr:col>
      <xdr:colOff>110634</xdr:colOff>
      <xdr:row>7</xdr:row>
      <xdr:rowOff>7493</xdr:rowOff>
    </xdr:from>
    <xdr:to>
      <xdr:col>14</xdr:col>
      <xdr:colOff>94954</xdr:colOff>
      <xdr:row>7</xdr:row>
      <xdr:rowOff>186081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6B9DA6C0-5E5F-8841-AD01-1CE539D08649}"/>
            </a:ext>
          </a:extLst>
        </xdr:cNvPr>
        <xdr:cNvSpPr/>
      </xdr:nvSpPr>
      <xdr:spPr>
        <a:xfrm>
          <a:off x="3907934" y="1340993"/>
          <a:ext cx="1279720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RAZÓN SOCIAL: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8</xdr:row>
      <xdr:rowOff>70173</xdr:rowOff>
    </xdr:from>
    <xdr:to>
      <xdr:col>11</xdr:col>
      <xdr:colOff>476749</xdr:colOff>
      <xdr:row>9</xdr:row>
      <xdr:rowOff>1111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997206C9-7A4E-5142-BE42-FE76211F76DD}"/>
            </a:ext>
          </a:extLst>
        </xdr:cNvPr>
        <xdr:cNvSpPr/>
      </xdr:nvSpPr>
      <xdr:spPr>
        <a:xfrm>
          <a:off x="3907935" y="1594173"/>
          <a:ext cx="493114" cy="13413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9</xdr:row>
      <xdr:rowOff>68036</xdr:rowOff>
    </xdr:from>
    <xdr:to>
      <xdr:col>12</xdr:col>
      <xdr:colOff>271009</xdr:colOff>
      <xdr:row>10</xdr:row>
      <xdr:rowOff>3602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2B368530-8328-4341-BD7F-258288E4F9CB}"/>
            </a:ext>
          </a:extLst>
        </xdr:cNvPr>
        <xdr:cNvSpPr/>
      </xdr:nvSpPr>
      <xdr:spPr>
        <a:xfrm>
          <a:off x="3907935" y="1795236"/>
          <a:ext cx="998574" cy="15146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DIRECCIÓN:</a:t>
          </a:r>
        </a:p>
      </xdr:txBody>
    </xdr:sp>
    <xdr:clientData/>
  </xdr:twoCellAnchor>
  <xdr:twoCellAnchor editAs="absolute">
    <xdr:from>
      <xdr:col>10</xdr:col>
      <xdr:colOff>110635</xdr:colOff>
      <xdr:row>10</xdr:row>
      <xdr:rowOff>51122</xdr:rowOff>
    </xdr:from>
    <xdr:to>
      <xdr:col>11</xdr:col>
      <xdr:colOff>608194</xdr:colOff>
      <xdr:row>11</xdr:row>
      <xdr:rowOff>1110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58A277C1-0E3A-DB46-A563-FDE1685C862A}"/>
            </a:ext>
          </a:extLst>
        </xdr:cNvPr>
        <xdr:cNvSpPr/>
      </xdr:nvSpPr>
      <xdr:spPr>
        <a:xfrm>
          <a:off x="3907935" y="1994222"/>
          <a:ext cx="624559" cy="1531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EMAIL: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359797</xdr:colOff>
      <xdr:row>2</xdr:row>
      <xdr:rowOff>8245</xdr:rowOff>
    </xdr:from>
    <xdr:to>
      <xdr:col>15</xdr:col>
      <xdr:colOff>302812</xdr:colOff>
      <xdr:row>2</xdr:row>
      <xdr:rowOff>181427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21B6BF46-2C65-DD49-9C64-6B79FADEAC5D}"/>
            </a:ext>
          </a:extLst>
        </xdr:cNvPr>
        <xdr:cNvSpPr/>
      </xdr:nvSpPr>
      <xdr:spPr>
        <a:xfrm>
          <a:off x="2061597" y="389245"/>
          <a:ext cx="3448215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accent1">
                  <a:lumMod val="75000"/>
                </a:schemeClr>
              </a:solidFill>
            </a:rPr>
            <a:t>LIQUIDACIÓN DE SUELDO</a:t>
          </a:r>
          <a:r>
            <a:rPr lang="es-CL" sz="1400" b="1" baseline="0">
              <a:solidFill>
                <a:schemeClr val="accent1">
                  <a:lumMod val="75000"/>
                </a:schemeClr>
              </a:solidFill>
            </a:rPr>
            <a:t> MENSUAL</a:t>
          </a:r>
          <a:endParaRPr lang="es-CL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64976</xdr:colOff>
      <xdr:row>49</xdr:row>
      <xdr:rowOff>8250</xdr:rowOff>
    </xdr:from>
    <xdr:to>
      <xdr:col>18</xdr:col>
      <xdr:colOff>242662</xdr:colOff>
      <xdr:row>49</xdr:row>
      <xdr:rowOff>181432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77A15E3-268A-B646-B20B-606EEF7CB147}"/>
            </a:ext>
          </a:extLst>
        </xdr:cNvPr>
        <xdr:cNvSpPr/>
      </xdr:nvSpPr>
      <xdr:spPr>
        <a:xfrm>
          <a:off x="5271976" y="8225150"/>
          <a:ext cx="1701686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50" b="1">
              <a:solidFill>
                <a:schemeClr val="accent1">
                  <a:lumMod val="75000"/>
                </a:schemeClr>
              </a:solidFill>
              <a:latin typeface="Raleway" panose="020B0503030101060003" pitchFamily="34" charset="0"/>
            </a:rPr>
            <a:t>FIRMA TRABAJADOR</a:t>
          </a:r>
        </a:p>
      </xdr:txBody>
    </xdr:sp>
    <xdr:clientData/>
  </xdr:twoCellAnchor>
  <xdr:twoCellAnchor>
    <xdr:from>
      <xdr:col>13</xdr:col>
      <xdr:colOff>54429</xdr:colOff>
      <xdr:row>48</xdr:row>
      <xdr:rowOff>63500</xdr:rowOff>
    </xdr:from>
    <xdr:to>
      <xdr:col>18</xdr:col>
      <xdr:colOff>411159</xdr:colOff>
      <xdr:row>48</xdr:row>
      <xdr:rowOff>63500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A4E71518-60A8-CA40-91B2-21E279376BF6}"/>
            </a:ext>
          </a:extLst>
        </xdr:cNvPr>
        <xdr:cNvCxnSpPr/>
      </xdr:nvCxnSpPr>
      <xdr:spPr>
        <a:xfrm>
          <a:off x="5045529" y="8089900"/>
          <a:ext cx="2096630" cy="0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10582</xdr:colOff>
      <xdr:row>25</xdr:row>
      <xdr:rowOff>15877</xdr:rowOff>
    </xdr:from>
    <xdr:to>
      <xdr:col>7</xdr:col>
      <xdr:colOff>412750</xdr:colOff>
      <xdr:row>26</xdr:row>
      <xdr:rowOff>21167</xdr:rowOff>
    </xdr:to>
    <xdr:sp macro="" textlink="">
      <xdr:nvSpPr>
        <xdr:cNvPr id="53" name="Shape 19">
          <a:extLst>
            <a:ext uri="{FF2B5EF4-FFF2-40B4-BE49-F238E27FC236}">
              <a16:creationId xmlns:a16="http://schemas.microsoft.com/office/drawing/2014/main" id="{2CCDD01A-37BB-3B45-958F-12FF9BB36803}"/>
            </a:ext>
          </a:extLst>
        </xdr:cNvPr>
        <xdr:cNvSpPr/>
      </xdr:nvSpPr>
      <xdr:spPr>
        <a:xfrm>
          <a:off x="582082" y="4651377"/>
          <a:ext cx="2662768" cy="19579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317</xdr:colOff>
      <xdr:row>25</xdr:row>
      <xdr:rowOff>5292</xdr:rowOff>
    </xdr:from>
    <xdr:to>
      <xdr:col>13</xdr:col>
      <xdr:colOff>0</xdr:colOff>
      <xdr:row>25</xdr:row>
      <xdr:rowOff>189549</xdr:rowOff>
    </xdr:to>
    <xdr:sp macro="" textlink="">
      <xdr:nvSpPr>
        <xdr:cNvPr id="54" name="Shape 19">
          <a:extLst>
            <a:ext uri="{FF2B5EF4-FFF2-40B4-BE49-F238E27FC236}">
              <a16:creationId xmlns:a16="http://schemas.microsoft.com/office/drawing/2014/main" id="{D3E4C4AE-BCD1-5D4A-BC7F-6811EDD60D44}"/>
            </a:ext>
          </a:extLst>
        </xdr:cNvPr>
        <xdr:cNvSpPr/>
      </xdr:nvSpPr>
      <xdr:spPr>
        <a:xfrm>
          <a:off x="3468687" y="4640792"/>
          <a:ext cx="1509713" cy="18425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73550</xdr:colOff>
      <xdr:row>25</xdr:row>
      <xdr:rowOff>21167</xdr:rowOff>
    </xdr:from>
    <xdr:to>
      <xdr:col>19</xdr:col>
      <xdr:colOff>24338</xdr:colOff>
      <xdr:row>26</xdr:row>
      <xdr:rowOff>22029</xdr:rowOff>
    </xdr:to>
    <xdr:sp macro="" textlink="">
      <xdr:nvSpPr>
        <xdr:cNvPr id="55" name="Shape 19">
          <a:extLst>
            <a:ext uri="{FF2B5EF4-FFF2-40B4-BE49-F238E27FC236}">
              <a16:creationId xmlns:a16="http://schemas.microsoft.com/office/drawing/2014/main" id="{AD5707C7-722E-F34F-85F4-6038FE5E97A8}"/>
            </a:ext>
          </a:extLst>
        </xdr:cNvPr>
        <xdr:cNvSpPr/>
      </xdr:nvSpPr>
      <xdr:spPr>
        <a:xfrm>
          <a:off x="5166250" y="4656667"/>
          <a:ext cx="2071688" cy="19136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55563</xdr:colOff>
      <xdr:row>1</xdr:row>
      <xdr:rowOff>79377</xdr:rowOff>
    </xdr:from>
    <xdr:to>
      <xdr:col>5</xdr:col>
      <xdr:colOff>148593</xdr:colOff>
      <xdr:row>3</xdr:row>
      <xdr:rowOff>147640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C9E78B3D-CD80-F54A-93ED-8E9507874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063" y="269877"/>
          <a:ext cx="1578930" cy="449263"/>
        </a:xfrm>
        <a:prstGeom prst="rect">
          <a:avLst/>
        </a:prstGeom>
      </xdr:spPr>
    </xdr:pic>
    <xdr:clientData/>
  </xdr:twoCellAnchor>
  <xdr:twoCellAnchor editAs="absolute">
    <xdr:from>
      <xdr:col>1</xdr:col>
      <xdr:colOff>21166</xdr:colOff>
      <xdr:row>26</xdr:row>
      <xdr:rowOff>63500</xdr:rowOff>
    </xdr:from>
    <xdr:to>
      <xdr:col>7</xdr:col>
      <xdr:colOff>423334</xdr:colOff>
      <xdr:row>27</xdr:row>
      <xdr:rowOff>185206</xdr:rowOff>
    </xdr:to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F8F246B5-0568-D646-8831-20F4F6731A25}"/>
            </a:ext>
          </a:extLst>
        </xdr:cNvPr>
        <xdr:cNvSpPr/>
      </xdr:nvSpPr>
      <xdr:spPr>
        <a:xfrm>
          <a:off x="592666" y="4889500"/>
          <a:ext cx="26627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63501</xdr:colOff>
      <xdr:row>27</xdr:row>
      <xdr:rowOff>0</xdr:rowOff>
    </xdr:from>
    <xdr:to>
      <xdr:col>13</xdr:col>
      <xdr:colOff>531</xdr:colOff>
      <xdr:row>28</xdr:row>
      <xdr:rowOff>10583</xdr:rowOff>
    </xdr:to>
    <xdr:sp macro="" textlink="">
      <xdr:nvSpPr>
        <xdr:cNvPr id="58" name="Shape 19">
          <a:extLst>
            <a:ext uri="{FF2B5EF4-FFF2-40B4-BE49-F238E27FC236}">
              <a16:creationId xmlns:a16="http://schemas.microsoft.com/office/drawing/2014/main" id="{8428A6EB-C475-814F-91B1-89DD01AA33CC}"/>
            </a:ext>
          </a:extLst>
        </xdr:cNvPr>
        <xdr:cNvSpPr/>
      </xdr:nvSpPr>
      <xdr:spPr>
        <a:xfrm>
          <a:off x="3429001" y="4902200"/>
          <a:ext cx="1562630" cy="20108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74084</xdr:colOff>
      <xdr:row>27</xdr:row>
      <xdr:rowOff>0</xdr:rowOff>
    </xdr:from>
    <xdr:to>
      <xdr:col>19</xdr:col>
      <xdr:colOff>24872</xdr:colOff>
      <xdr:row>28</xdr:row>
      <xdr:rowOff>862</xdr:rowOff>
    </xdr:to>
    <xdr:sp macro="" textlink="">
      <xdr:nvSpPr>
        <xdr:cNvPr id="59" name="Shape 19">
          <a:extLst>
            <a:ext uri="{FF2B5EF4-FFF2-40B4-BE49-F238E27FC236}">
              <a16:creationId xmlns:a16="http://schemas.microsoft.com/office/drawing/2014/main" id="{BECCB6B9-262A-C14F-9C9A-A6276DF7E60D}"/>
            </a:ext>
          </a:extLst>
        </xdr:cNvPr>
        <xdr:cNvSpPr/>
      </xdr:nvSpPr>
      <xdr:spPr>
        <a:xfrm>
          <a:off x="5166784" y="4902200"/>
          <a:ext cx="2071688" cy="19136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29</xdr:row>
      <xdr:rowOff>0</xdr:rowOff>
    </xdr:from>
    <xdr:to>
      <xdr:col>7</xdr:col>
      <xdr:colOff>402168</xdr:colOff>
      <xdr:row>30</xdr:row>
      <xdr:rowOff>13756</xdr:rowOff>
    </xdr:to>
    <xdr:sp macro="" textlink="">
      <xdr:nvSpPr>
        <xdr:cNvPr id="60" name="Shape 19">
          <a:extLst>
            <a:ext uri="{FF2B5EF4-FFF2-40B4-BE49-F238E27FC236}">
              <a16:creationId xmlns:a16="http://schemas.microsoft.com/office/drawing/2014/main" id="{4437D6DE-96AC-4EA1-941C-7065DB339BC7}"/>
            </a:ext>
          </a:extLst>
        </xdr:cNvPr>
        <xdr:cNvSpPr/>
      </xdr:nvSpPr>
      <xdr:spPr>
        <a:xfrm>
          <a:off x="508000" y="529590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29</xdr:row>
      <xdr:rowOff>0</xdr:rowOff>
    </xdr:from>
    <xdr:to>
      <xdr:col>13</xdr:col>
      <xdr:colOff>38630</xdr:colOff>
      <xdr:row>30</xdr:row>
      <xdr:rowOff>23283</xdr:rowOff>
    </xdr:to>
    <xdr:sp macro="" textlink="">
      <xdr:nvSpPr>
        <xdr:cNvPr id="61" name="Shape 19">
          <a:extLst>
            <a:ext uri="{FF2B5EF4-FFF2-40B4-BE49-F238E27FC236}">
              <a16:creationId xmlns:a16="http://schemas.microsoft.com/office/drawing/2014/main" id="{C4689800-FA78-4AC5-B406-0957AF45FA3F}"/>
            </a:ext>
          </a:extLst>
        </xdr:cNvPr>
        <xdr:cNvSpPr/>
      </xdr:nvSpPr>
      <xdr:spPr>
        <a:xfrm>
          <a:off x="3111500" y="5295900"/>
          <a:ext cx="1391180" cy="20743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0</xdr:colOff>
      <xdr:row>29</xdr:row>
      <xdr:rowOff>0</xdr:rowOff>
    </xdr:from>
    <xdr:to>
      <xdr:col>19</xdr:col>
      <xdr:colOff>52388</xdr:colOff>
      <xdr:row>30</xdr:row>
      <xdr:rowOff>13562</xdr:rowOff>
    </xdr:to>
    <xdr:sp macro="" textlink="">
      <xdr:nvSpPr>
        <xdr:cNvPr id="62" name="Shape 19">
          <a:extLst>
            <a:ext uri="{FF2B5EF4-FFF2-40B4-BE49-F238E27FC236}">
              <a16:creationId xmlns:a16="http://schemas.microsoft.com/office/drawing/2014/main" id="{DCC48677-CAC3-49C4-A22A-A87706402FBF}"/>
            </a:ext>
          </a:extLst>
        </xdr:cNvPr>
        <xdr:cNvSpPr/>
      </xdr:nvSpPr>
      <xdr:spPr>
        <a:xfrm>
          <a:off x="4654550" y="5295900"/>
          <a:ext cx="1849438" cy="19771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500063</xdr:colOff>
      <xdr:row>51</xdr:row>
      <xdr:rowOff>174625</xdr:rowOff>
    </xdr:from>
    <xdr:to>
      <xdr:col>19</xdr:col>
      <xdr:colOff>113770</xdr:colOff>
      <xdr:row>58</xdr:row>
      <xdr:rowOff>143396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864D54-9BA0-4B45-8744-DDFAE18D72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6"/>
        <a:stretch/>
      </xdr:blipFill>
      <xdr:spPr>
        <a:xfrm>
          <a:off x="500063" y="8625205"/>
          <a:ext cx="6067847" cy="124893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83685</xdr:colOff>
      <xdr:row>12</xdr:row>
      <xdr:rowOff>36880</xdr:rowOff>
    </xdr:from>
    <xdr:to>
      <xdr:col>12</xdr:col>
      <xdr:colOff>209097</xdr:colOff>
      <xdr:row>12</xdr:row>
      <xdr:rowOff>239482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3A0DEC6-2895-432B-9AFA-D33998F3A8AF}"/>
            </a:ext>
          </a:extLst>
        </xdr:cNvPr>
        <xdr:cNvSpPr/>
      </xdr:nvSpPr>
      <xdr:spPr>
        <a:xfrm>
          <a:off x="2613525" y="2627680"/>
          <a:ext cx="1740852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LICENCIA</a:t>
          </a:r>
        </a:p>
      </xdr:txBody>
    </xdr:sp>
    <xdr:clientData/>
  </xdr:twoCellAnchor>
  <xdr:twoCellAnchor editAs="absolute">
    <xdr:from>
      <xdr:col>14</xdr:col>
      <xdr:colOff>88130</xdr:colOff>
      <xdr:row>12</xdr:row>
      <xdr:rowOff>36880</xdr:rowOff>
    </xdr:from>
    <xdr:to>
      <xdr:col>18</xdr:col>
      <xdr:colOff>345305</xdr:colOff>
      <xdr:row>12</xdr:row>
      <xdr:rowOff>239482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A24713B1-72D0-4B7A-9CF3-5A3E1E575496}"/>
            </a:ext>
          </a:extLst>
        </xdr:cNvPr>
        <xdr:cNvSpPr/>
      </xdr:nvSpPr>
      <xdr:spPr>
        <a:xfrm>
          <a:off x="4644890" y="2627680"/>
          <a:ext cx="1720215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AUSENCIA</a:t>
          </a:r>
        </a:p>
      </xdr:txBody>
    </xdr:sp>
    <xdr:clientData/>
  </xdr:twoCellAnchor>
  <xdr:twoCellAnchor editAs="absolute">
    <xdr:from>
      <xdr:col>1</xdr:col>
      <xdr:colOff>357188</xdr:colOff>
      <xdr:row>17</xdr:row>
      <xdr:rowOff>2007</xdr:rowOff>
    </xdr:from>
    <xdr:to>
      <xdr:col>7</xdr:col>
      <xdr:colOff>74160</xdr:colOff>
      <xdr:row>17</xdr:row>
      <xdr:rowOff>200567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F11967-565A-406F-A36C-5E5C429895D2}"/>
            </a:ext>
          </a:extLst>
        </xdr:cNvPr>
        <xdr:cNvSpPr/>
      </xdr:nvSpPr>
      <xdr:spPr>
        <a:xfrm>
          <a:off x="867728" y="3552927"/>
          <a:ext cx="1736272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DETALLES:</a:t>
          </a:r>
        </a:p>
      </xdr:txBody>
    </xdr:sp>
    <xdr:clientData/>
  </xdr:twoCellAnchor>
  <xdr:twoCellAnchor editAs="absolute">
    <xdr:from>
      <xdr:col>7</xdr:col>
      <xdr:colOff>369435</xdr:colOff>
      <xdr:row>17</xdr:row>
      <xdr:rowOff>407</xdr:rowOff>
    </xdr:from>
    <xdr:to>
      <xdr:col>15</xdr:col>
      <xdr:colOff>2405</xdr:colOff>
      <xdr:row>17</xdr:row>
      <xdr:rowOff>191042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88BC519-4467-4623-A840-0128FAFE293C}"/>
            </a:ext>
          </a:extLst>
        </xdr:cNvPr>
        <xdr:cNvSpPr/>
      </xdr:nvSpPr>
      <xdr:spPr>
        <a:xfrm>
          <a:off x="2899275" y="3549422"/>
          <a:ext cx="1758950" cy="192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HABERES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15</xdr:col>
      <xdr:colOff>2405</xdr:colOff>
      <xdr:row>17</xdr:row>
      <xdr:rowOff>2008</xdr:rowOff>
    </xdr:from>
    <xdr:to>
      <xdr:col>18</xdr:col>
      <xdr:colOff>354830</xdr:colOff>
      <xdr:row>17</xdr:row>
      <xdr:rowOff>200568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48062E2D-6EC7-44B1-BC67-69F07238D527}"/>
            </a:ext>
          </a:extLst>
        </xdr:cNvPr>
        <xdr:cNvSpPr/>
      </xdr:nvSpPr>
      <xdr:spPr>
        <a:xfrm>
          <a:off x="4658225" y="3552928"/>
          <a:ext cx="1716405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DESCUENTO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</xdr:col>
      <xdr:colOff>0</xdr:colOff>
      <xdr:row>21</xdr:row>
      <xdr:rowOff>184</xdr:rowOff>
    </xdr:from>
    <xdr:to>
      <xdr:col>7</xdr:col>
      <xdr:colOff>440872</xdr:colOff>
      <xdr:row>22</xdr:row>
      <xdr:rowOff>2271</xdr:rowOff>
    </xdr:to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7F4465B2-D29A-4FF1-B357-652958B4484D}"/>
            </a:ext>
          </a:extLst>
        </xdr:cNvPr>
        <xdr:cNvSpPr/>
      </xdr:nvSpPr>
      <xdr:spPr>
        <a:xfrm>
          <a:off x="510540" y="4267384"/>
          <a:ext cx="2460172" cy="20020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22298</xdr:colOff>
      <xdr:row>21</xdr:row>
      <xdr:rowOff>3542</xdr:rowOff>
    </xdr:from>
    <xdr:to>
      <xdr:col>13</xdr:col>
      <xdr:colOff>28120</xdr:colOff>
      <xdr:row>22</xdr:row>
      <xdr:rowOff>5711</xdr:rowOff>
    </xdr:to>
    <xdr:sp macro="" textlink="">
      <xdr:nvSpPr>
        <xdr:cNvPr id="9" name="Shape 19">
          <a:extLst>
            <a:ext uri="{FF2B5EF4-FFF2-40B4-BE49-F238E27FC236}">
              <a16:creationId xmlns:a16="http://schemas.microsoft.com/office/drawing/2014/main" id="{139B21DD-085A-413F-8C94-87454016A380}"/>
            </a:ext>
          </a:extLst>
        </xdr:cNvPr>
        <xdr:cNvSpPr/>
      </xdr:nvSpPr>
      <xdr:spPr>
        <a:xfrm>
          <a:off x="3131258" y="4270742"/>
          <a:ext cx="1362182" cy="20028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62196</xdr:colOff>
      <xdr:row>21</xdr:row>
      <xdr:rowOff>184</xdr:rowOff>
    </xdr:from>
    <xdr:to>
      <xdr:col>19</xdr:col>
      <xdr:colOff>14572</xdr:colOff>
      <xdr:row>22</xdr:row>
      <xdr:rowOff>2190</xdr:rowOff>
    </xdr:to>
    <xdr:sp macro="" textlink="">
      <xdr:nvSpPr>
        <xdr:cNvPr id="10" name="Shape 19">
          <a:extLst>
            <a:ext uri="{FF2B5EF4-FFF2-40B4-BE49-F238E27FC236}">
              <a16:creationId xmlns:a16="http://schemas.microsoft.com/office/drawing/2014/main" id="{900500CD-B6F2-48BB-A26B-A4AB1DC64070}"/>
            </a:ext>
          </a:extLst>
        </xdr:cNvPr>
        <xdr:cNvSpPr/>
      </xdr:nvSpPr>
      <xdr:spPr>
        <a:xfrm>
          <a:off x="4618956" y="4267384"/>
          <a:ext cx="1849756" cy="2001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23</xdr:row>
      <xdr:rowOff>853</xdr:rowOff>
    </xdr:from>
    <xdr:to>
      <xdr:col>7</xdr:col>
      <xdr:colOff>440872</xdr:colOff>
      <xdr:row>24</xdr:row>
      <xdr:rowOff>1796</xdr:rowOff>
    </xdr:to>
    <xdr:sp macro="" textlink="">
      <xdr:nvSpPr>
        <xdr:cNvPr id="11" name="Shape 19">
          <a:extLst>
            <a:ext uri="{FF2B5EF4-FFF2-40B4-BE49-F238E27FC236}">
              <a16:creationId xmlns:a16="http://schemas.microsoft.com/office/drawing/2014/main" id="{C8CA940D-A6CE-43CF-BBD8-407E9B189499}"/>
            </a:ext>
          </a:extLst>
        </xdr:cNvPr>
        <xdr:cNvSpPr/>
      </xdr:nvSpPr>
      <xdr:spPr>
        <a:xfrm>
          <a:off x="510540" y="4519513"/>
          <a:ext cx="2460172" cy="1990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79979</xdr:colOff>
      <xdr:row>23</xdr:row>
      <xdr:rowOff>3541</xdr:rowOff>
    </xdr:from>
    <xdr:to>
      <xdr:col>13</xdr:col>
      <xdr:colOff>14892</xdr:colOff>
      <xdr:row>24</xdr:row>
      <xdr:rowOff>5236</xdr:rowOff>
    </xdr:to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B12718CE-28A0-4AA9-8A3E-1B501807D5AB}"/>
            </a:ext>
          </a:extLst>
        </xdr:cNvPr>
        <xdr:cNvSpPr/>
      </xdr:nvSpPr>
      <xdr:spPr>
        <a:xfrm>
          <a:off x="3089879" y="4522201"/>
          <a:ext cx="1390333" cy="19981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74367</xdr:colOff>
      <xdr:row>23</xdr:row>
      <xdr:rowOff>853</xdr:rowOff>
    </xdr:from>
    <xdr:to>
      <xdr:col>19</xdr:col>
      <xdr:colOff>25155</xdr:colOff>
      <xdr:row>24</xdr:row>
      <xdr:rowOff>1715</xdr:rowOff>
    </xdr:to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6365690A-6EDE-4F30-BF4A-3F408CF16932}"/>
            </a:ext>
          </a:extLst>
        </xdr:cNvPr>
        <xdr:cNvSpPr/>
      </xdr:nvSpPr>
      <xdr:spPr>
        <a:xfrm>
          <a:off x="4631127" y="4519513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491810</xdr:colOff>
      <xdr:row>33</xdr:row>
      <xdr:rowOff>29073</xdr:rowOff>
    </xdr:from>
    <xdr:to>
      <xdr:col>7</xdr:col>
      <xdr:colOff>456432</xdr:colOff>
      <xdr:row>34</xdr:row>
      <xdr:rowOff>27218</xdr:rowOff>
    </xdr:to>
    <xdr:sp macro="" textlink="">
      <xdr:nvSpPr>
        <xdr:cNvPr id="14" name="Shape 19">
          <a:extLst>
            <a:ext uri="{FF2B5EF4-FFF2-40B4-BE49-F238E27FC236}">
              <a16:creationId xmlns:a16="http://schemas.microsoft.com/office/drawing/2014/main" id="{60D3FFE8-490C-427B-945C-D810BB20ECB1}"/>
            </a:ext>
          </a:extLst>
        </xdr:cNvPr>
        <xdr:cNvSpPr/>
      </xdr:nvSpPr>
      <xdr:spPr>
        <a:xfrm>
          <a:off x="501335" y="6026013"/>
          <a:ext cx="2484937" cy="19626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92574</xdr:colOff>
      <xdr:row>33</xdr:row>
      <xdr:rowOff>9467</xdr:rowOff>
    </xdr:from>
    <xdr:to>
      <xdr:col>13</xdr:col>
      <xdr:colOff>17962</xdr:colOff>
      <xdr:row>33</xdr:row>
      <xdr:rowOff>197952</xdr:rowOff>
    </xdr:to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A40B90B7-A56A-4501-A25F-5118FC1C2882}"/>
            </a:ext>
          </a:extLst>
        </xdr:cNvPr>
        <xdr:cNvSpPr/>
      </xdr:nvSpPr>
      <xdr:spPr>
        <a:xfrm>
          <a:off x="3102474" y="6006407"/>
          <a:ext cx="1380808" cy="18848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14391</xdr:colOff>
      <xdr:row>33</xdr:row>
      <xdr:rowOff>41062</xdr:rowOff>
    </xdr:from>
    <xdr:to>
      <xdr:col>19</xdr:col>
      <xdr:colOff>40394</xdr:colOff>
      <xdr:row>34</xdr:row>
      <xdr:rowOff>31794</xdr:rowOff>
    </xdr:to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2D51E602-FEF9-4207-AFF0-996C53ADF70C}"/>
            </a:ext>
          </a:extLst>
        </xdr:cNvPr>
        <xdr:cNvSpPr/>
      </xdr:nvSpPr>
      <xdr:spPr>
        <a:xfrm>
          <a:off x="4670211" y="6038002"/>
          <a:ext cx="1824323" cy="188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491808</xdr:colOff>
      <xdr:row>34</xdr:row>
      <xdr:rowOff>60838</xdr:rowOff>
    </xdr:from>
    <xdr:to>
      <xdr:col>7</xdr:col>
      <xdr:colOff>456430</xdr:colOff>
      <xdr:row>35</xdr:row>
      <xdr:rowOff>183886</xdr:rowOff>
    </xdr:to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90B21B45-78E1-486B-BE88-29FE7775C3C7}"/>
            </a:ext>
          </a:extLst>
        </xdr:cNvPr>
        <xdr:cNvSpPr/>
      </xdr:nvSpPr>
      <xdr:spPr>
        <a:xfrm>
          <a:off x="501333" y="6255898"/>
          <a:ext cx="2484937" cy="199248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82626</xdr:colOff>
      <xdr:row>35</xdr:row>
      <xdr:rowOff>6083</xdr:rowOff>
    </xdr:from>
    <xdr:to>
      <xdr:col>12</xdr:col>
      <xdr:colOff>302231</xdr:colOff>
      <xdr:row>35</xdr:row>
      <xdr:rowOff>196935</xdr:rowOff>
    </xdr:to>
    <xdr:sp macro="" textlink="">
      <xdr:nvSpPr>
        <xdr:cNvPr id="18" name="Shape 19">
          <a:extLst>
            <a:ext uri="{FF2B5EF4-FFF2-40B4-BE49-F238E27FC236}">
              <a16:creationId xmlns:a16="http://schemas.microsoft.com/office/drawing/2014/main" id="{B28DE305-5D07-4366-97ED-E44A7D711D25}"/>
            </a:ext>
          </a:extLst>
        </xdr:cNvPr>
        <xdr:cNvSpPr/>
      </xdr:nvSpPr>
      <xdr:spPr>
        <a:xfrm>
          <a:off x="3092526" y="6277343"/>
          <a:ext cx="1354985" cy="190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78740</xdr:colOff>
      <xdr:row>35</xdr:row>
      <xdr:rowOff>13122</xdr:rowOff>
    </xdr:from>
    <xdr:to>
      <xdr:col>19</xdr:col>
      <xdr:colOff>40398</xdr:colOff>
      <xdr:row>35</xdr:row>
      <xdr:rowOff>188995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3FFD82B6-1DE6-4906-BB2D-138EAA4FFA70}"/>
            </a:ext>
          </a:extLst>
        </xdr:cNvPr>
        <xdr:cNvSpPr/>
      </xdr:nvSpPr>
      <xdr:spPr>
        <a:xfrm>
          <a:off x="4635500" y="6284382"/>
          <a:ext cx="1859038" cy="17587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6033</xdr:colOff>
      <xdr:row>36</xdr:row>
      <xdr:rowOff>50139</xdr:rowOff>
    </xdr:from>
    <xdr:to>
      <xdr:col>7</xdr:col>
      <xdr:colOff>462145</xdr:colOff>
      <xdr:row>37</xdr:row>
      <xdr:rowOff>189002</xdr:rowOff>
    </xdr:to>
    <xdr:sp macro="" textlink="">
      <xdr:nvSpPr>
        <xdr:cNvPr id="20" name="Shape 19">
          <a:extLst>
            <a:ext uri="{FF2B5EF4-FFF2-40B4-BE49-F238E27FC236}">
              <a16:creationId xmlns:a16="http://schemas.microsoft.com/office/drawing/2014/main" id="{CDE2DB1B-7612-4145-8B68-38C89894A9CB}"/>
            </a:ext>
          </a:extLst>
        </xdr:cNvPr>
        <xdr:cNvSpPr/>
      </xdr:nvSpPr>
      <xdr:spPr>
        <a:xfrm>
          <a:off x="516573" y="6519519"/>
          <a:ext cx="2484937" cy="19982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1451</xdr:colOff>
      <xdr:row>37</xdr:row>
      <xdr:rowOff>21142</xdr:rowOff>
    </xdr:from>
    <xdr:to>
      <xdr:col>13</xdr:col>
      <xdr:colOff>16828</xdr:colOff>
      <xdr:row>38</xdr:row>
      <xdr:rowOff>24871</xdr:rowOff>
    </xdr:to>
    <xdr:sp macro="" textlink="">
      <xdr:nvSpPr>
        <xdr:cNvPr id="21" name="Shape 19">
          <a:extLst>
            <a:ext uri="{FF2B5EF4-FFF2-40B4-BE49-F238E27FC236}">
              <a16:creationId xmlns:a16="http://schemas.microsoft.com/office/drawing/2014/main" id="{AF83E7B2-A69F-42EC-8110-8853A7159E68}"/>
            </a:ext>
          </a:extLst>
        </xdr:cNvPr>
        <xdr:cNvSpPr/>
      </xdr:nvSpPr>
      <xdr:spPr>
        <a:xfrm>
          <a:off x="3110411" y="6551482"/>
          <a:ext cx="1371737" cy="19422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72815</xdr:colOff>
      <xdr:row>37</xdr:row>
      <xdr:rowOff>1457</xdr:rowOff>
    </xdr:from>
    <xdr:to>
      <xdr:col>19</xdr:col>
      <xdr:colOff>64633</xdr:colOff>
      <xdr:row>38</xdr:row>
      <xdr:rowOff>4656</xdr:rowOff>
    </xdr:to>
    <xdr:sp macro="" textlink="">
      <xdr:nvSpPr>
        <xdr:cNvPr id="22" name="Shape 19">
          <a:extLst>
            <a:ext uri="{FF2B5EF4-FFF2-40B4-BE49-F238E27FC236}">
              <a16:creationId xmlns:a16="http://schemas.microsoft.com/office/drawing/2014/main" id="{DF787C17-62D1-41E0-88B9-43DBA0CCF21C}"/>
            </a:ext>
          </a:extLst>
        </xdr:cNvPr>
        <xdr:cNvSpPr/>
      </xdr:nvSpPr>
      <xdr:spPr>
        <a:xfrm>
          <a:off x="4629575" y="6531797"/>
          <a:ext cx="1889198" cy="19369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4130</xdr:colOff>
      <xdr:row>39</xdr:row>
      <xdr:rowOff>10572</xdr:rowOff>
    </xdr:from>
    <xdr:to>
      <xdr:col>7</xdr:col>
      <xdr:colOff>464052</xdr:colOff>
      <xdr:row>40</xdr:row>
      <xdr:rowOff>22962</xdr:rowOff>
    </xdr:to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28637A4B-3A48-4FB1-9405-61F0DB61AFF4}"/>
            </a:ext>
          </a:extLst>
        </xdr:cNvPr>
        <xdr:cNvSpPr/>
      </xdr:nvSpPr>
      <xdr:spPr>
        <a:xfrm>
          <a:off x="508955" y="6807612"/>
          <a:ext cx="2484937" cy="2105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8754</xdr:colOff>
      <xdr:row>39</xdr:row>
      <xdr:rowOff>13384</xdr:rowOff>
    </xdr:from>
    <xdr:to>
      <xdr:col>13</xdr:col>
      <xdr:colOff>33202</xdr:colOff>
      <xdr:row>40</xdr:row>
      <xdr:rowOff>4283</xdr:rowOff>
    </xdr:to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55DFFF46-7887-465A-BFE4-96296AF91392}"/>
            </a:ext>
          </a:extLst>
        </xdr:cNvPr>
        <xdr:cNvSpPr/>
      </xdr:nvSpPr>
      <xdr:spPr>
        <a:xfrm>
          <a:off x="3117714" y="6810424"/>
          <a:ext cx="1380808" cy="18901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61353</xdr:colOff>
      <xdr:row>38</xdr:row>
      <xdr:rowOff>75131</xdr:rowOff>
    </xdr:from>
    <xdr:to>
      <xdr:col>19</xdr:col>
      <xdr:colOff>32778</xdr:colOff>
      <xdr:row>40</xdr:row>
      <xdr:rowOff>5737</xdr:rowOff>
    </xdr:to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F543871E-FF5E-4E32-9EB9-20E6FD354BCF}"/>
            </a:ext>
          </a:extLst>
        </xdr:cNvPr>
        <xdr:cNvSpPr/>
      </xdr:nvSpPr>
      <xdr:spPr>
        <a:xfrm>
          <a:off x="4618113" y="6795971"/>
          <a:ext cx="1868805" cy="2049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94933</xdr:colOff>
      <xdr:row>42</xdr:row>
      <xdr:rowOff>29824</xdr:rowOff>
    </xdr:from>
    <xdr:to>
      <xdr:col>13</xdr:col>
      <xdr:colOff>10796</xdr:colOff>
      <xdr:row>43</xdr:row>
      <xdr:rowOff>30952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3C42C4EF-430A-4553-AC08-549F2CD9C383}"/>
            </a:ext>
          </a:extLst>
        </xdr:cNvPr>
        <xdr:cNvSpPr/>
      </xdr:nvSpPr>
      <xdr:spPr>
        <a:xfrm>
          <a:off x="3104833" y="7322164"/>
          <a:ext cx="1371283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15</xdr:col>
      <xdr:colOff>1236</xdr:colOff>
      <xdr:row>42</xdr:row>
      <xdr:rowOff>19241</xdr:rowOff>
    </xdr:from>
    <xdr:to>
      <xdr:col>19</xdr:col>
      <xdr:colOff>43918</xdr:colOff>
      <xdr:row>43</xdr:row>
      <xdr:rowOff>20369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7001FC19-8815-4736-93B2-E10CB5C5C9E8}"/>
            </a:ext>
          </a:extLst>
        </xdr:cNvPr>
        <xdr:cNvSpPr/>
      </xdr:nvSpPr>
      <xdr:spPr>
        <a:xfrm>
          <a:off x="4657056" y="7311581"/>
          <a:ext cx="1841002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18537</xdr:colOff>
      <xdr:row>45</xdr:row>
      <xdr:rowOff>58985</xdr:rowOff>
    </xdr:from>
    <xdr:to>
      <xdr:col>7</xdr:col>
      <xdr:colOff>244475</xdr:colOff>
      <xdr:row>46</xdr:row>
      <xdr:rowOff>66567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53DC5992-2F36-4CB4-BF3D-6BA76688AFC8}"/>
            </a:ext>
          </a:extLst>
        </xdr:cNvPr>
        <xdr:cNvSpPr/>
      </xdr:nvSpPr>
      <xdr:spPr>
        <a:xfrm>
          <a:off x="529077" y="7701845"/>
          <a:ext cx="2245238" cy="190462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1391</xdr:colOff>
      <xdr:row>42</xdr:row>
      <xdr:rowOff>37364</xdr:rowOff>
    </xdr:from>
    <xdr:to>
      <xdr:col>7</xdr:col>
      <xdr:colOff>213676</xdr:colOff>
      <xdr:row>43</xdr:row>
      <xdr:rowOff>34000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2CB73473-867C-47F8-AC14-FACD0468F303}"/>
            </a:ext>
          </a:extLst>
        </xdr:cNvPr>
        <xdr:cNvSpPr/>
      </xdr:nvSpPr>
      <xdr:spPr>
        <a:xfrm>
          <a:off x="506216" y="7329704"/>
          <a:ext cx="2237300" cy="225236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400"/>
            <a:t>Totales</a:t>
          </a:r>
        </a:p>
        <a:p>
          <a:pPr algn="l"/>
          <a:endParaRPr lang="es-CL" sz="1400"/>
        </a:p>
      </xdr:txBody>
    </xdr:sp>
    <xdr:clientData/>
  </xdr:twoCellAnchor>
  <xdr:twoCellAnchor editAs="absolute">
    <xdr:from>
      <xdr:col>1</xdr:col>
      <xdr:colOff>53975</xdr:colOff>
      <xdr:row>40</xdr:row>
      <xdr:rowOff>88338</xdr:rowOff>
    </xdr:from>
    <xdr:to>
      <xdr:col>5</xdr:col>
      <xdr:colOff>568098</xdr:colOff>
      <xdr:row>41</xdr:row>
      <xdr:rowOff>159945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1F10A722-16DA-4507-952E-84FEC6F78B14}"/>
            </a:ext>
          </a:extLst>
        </xdr:cNvPr>
        <xdr:cNvSpPr/>
      </xdr:nvSpPr>
      <xdr:spPr>
        <a:xfrm>
          <a:off x="564515" y="7083498"/>
          <a:ext cx="1840003" cy="185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TOTALES:</a:t>
          </a:r>
        </a:p>
      </xdr:txBody>
    </xdr:sp>
    <xdr:clientData/>
  </xdr:twoCellAnchor>
  <xdr:twoCellAnchor editAs="absolute">
    <xdr:from>
      <xdr:col>1</xdr:col>
      <xdr:colOff>58421</xdr:colOff>
      <xdr:row>45</xdr:row>
      <xdr:rowOff>95087</xdr:rowOff>
    </xdr:from>
    <xdr:to>
      <xdr:col>5</xdr:col>
      <xdr:colOff>572544</xdr:colOff>
      <xdr:row>46</xdr:row>
      <xdr:rowOff>87326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D2F2B2D5-E908-4773-81D3-24DB32E1ED18}"/>
            </a:ext>
          </a:extLst>
        </xdr:cNvPr>
        <xdr:cNvSpPr/>
      </xdr:nvSpPr>
      <xdr:spPr>
        <a:xfrm>
          <a:off x="568961" y="7737947"/>
          <a:ext cx="1840003" cy="1751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 A PAGAR:</a:t>
          </a:r>
        </a:p>
      </xdr:txBody>
    </xdr:sp>
    <xdr:clientData/>
  </xdr:twoCellAnchor>
  <xdr:twoCellAnchor editAs="absolute">
    <xdr:from>
      <xdr:col>8</xdr:col>
      <xdr:colOff>61807</xdr:colOff>
      <xdr:row>45</xdr:row>
      <xdr:rowOff>5217</xdr:rowOff>
    </xdr:from>
    <xdr:to>
      <xdr:col>19</xdr:col>
      <xdr:colOff>8890</xdr:colOff>
      <xdr:row>46</xdr:row>
      <xdr:rowOff>30477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A1FCC5EF-CC9D-47A5-A93F-767DFA36B19D}"/>
            </a:ext>
          </a:extLst>
        </xdr:cNvPr>
        <xdr:cNvSpPr/>
      </xdr:nvSpPr>
      <xdr:spPr>
        <a:xfrm>
          <a:off x="3071707" y="7648077"/>
          <a:ext cx="3391323" cy="20814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-</a:t>
          </a:r>
        </a:p>
      </xdr:txBody>
    </xdr:sp>
    <xdr:clientData/>
  </xdr:twoCellAnchor>
  <xdr:twoCellAnchor editAs="absolute">
    <xdr:from>
      <xdr:col>1</xdr:col>
      <xdr:colOff>1838</xdr:colOff>
      <xdr:row>7</xdr:row>
      <xdr:rowOff>7493</xdr:rowOff>
    </xdr:from>
    <xdr:to>
      <xdr:col>2</xdr:col>
      <xdr:colOff>34290</xdr:colOff>
      <xdr:row>7</xdr:row>
      <xdr:rowOff>186081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9F6D7823-4426-4F49-AE3B-71360A369969}"/>
            </a:ext>
          </a:extLst>
        </xdr:cNvPr>
        <xdr:cNvSpPr/>
      </xdr:nvSpPr>
      <xdr:spPr>
        <a:xfrm>
          <a:off x="512378" y="1409573"/>
          <a:ext cx="520132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1837</xdr:colOff>
      <xdr:row>8</xdr:row>
      <xdr:rowOff>71438</xdr:rowOff>
    </xdr:from>
    <xdr:to>
      <xdr:col>3</xdr:col>
      <xdr:colOff>103187</xdr:colOff>
      <xdr:row>9</xdr:row>
      <xdr:rowOff>1111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3AB2EACE-8016-4921-B479-89BDEA003D04}"/>
            </a:ext>
          </a:extLst>
        </xdr:cNvPr>
        <xdr:cNvSpPr/>
      </xdr:nvSpPr>
      <xdr:spPr>
        <a:xfrm>
          <a:off x="512377" y="1694498"/>
          <a:ext cx="771910" cy="13541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NOMBRE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1838</xdr:colOff>
      <xdr:row>9</xdr:row>
      <xdr:rowOff>65256</xdr:rowOff>
    </xdr:from>
    <xdr:to>
      <xdr:col>5</xdr:col>
      <xdr:colOff>92256</xdr:colOff>
      <xdr:row>10</xdr:row>
      <xdr:rowOff>3602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98E8B406-E8D1-4188-B762-443B3FF98D5A}"/>
            </a:ext>
          </a:extLst>
        </xdr:cNvPr>
        <xdr:cNvSpPr/>
      </xdr:nvSpPr>
      <xdr:spPr>
        <a:xfrm>
          <a:off x="512378" y="1894056"/>
          <a:ext cx="1416298" cy="15170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FECHA DE INGRESO:</a:t>
          </a:r>
        </a:p>
      </xdr:txBody>
    </xdr:sp>
    <xdr:clientData/>
  </xdr:twoCellAnchor>
  <xdr:twoCellAnchor editAs="absolute">
    <xdr:from>
      <xdr:col>1</xdr:col>
      <xdr:colOff>1838</xdr:colOff>
      <xdr:row>10</xdr:row>
      <xdr:rowOff>51122</xdr:rowOff>
    </xdr:from>
    <xdr:to>
      <xdr:col>3</xdr:col>
      <xdr:colOff>2993</xdr:colOff>
      <xdr:row>11</xdr:row>
      <xdr:rowOff>1110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619CB93E-D6E7-400B-8EC8-8234C9731A08}"/>
            </a:ext>
          </a:extLst>
        </xdr:cNvPr>
        <xdr:cNvSpPr/>
      </xdr:nvSpPr>
      <xdr:spPr>
        <a:xfrm>
          <a:off x="512378" y="2093282"/>
          <a:ext cx="671715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CARGO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3810</xdr:colOff>
      <xdr:row>12</xdr:row>
      <xdr:rowOff>13335</xdr:rowOff>
    </xdr:from>
    <xdr:to>
      <xdr:col>5</xdr:col>
      <xdr:colOff>576911</xdr:colOff>
      <xdr:row>13</xdr:row>
      <xdr:rowOff>320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5BD4686C-EE0C-482C-AFEE-CB2DF61BA6F6}"/>
            </a:ext>
          </a:extLst>
        </xdr:cNvPr>
        <xdr:cNvSpPr/>
      </xdr:nvSpPr>
      <xdr:spPr>
        <a:xfrm>
          <a:off x="514350" y="2604135"/>
          <a:ext cx="1898981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TRABAJADOS:</a:t>
          </a:r>
        </a:p>
      </xdr:txBody>
    </xdr:sp>
    <xdr:clientData/>
  </xdr:twoCellAnchor>
  <xdr:twoCellAnchor editAs="absolute">
    <xdr:from>
      <xdr:col>7</xdr:col>
      <xdr:colOff>14152</xdr:colOff>
      <xdr:row>12</xdr:row>
      <xdr:rowOff>13335</xdr:rowOff>
    </xdr:from>
    <xdr:to>
      <xdr:col>13</xdr:col>
      <xdr:colOff>4549</xdr:colOff>
      <xdr:row>13</xdr:row>
      <xdr:rowOff>320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73543A13-7EDE-4DCC-94D3-B4245E460497}"/>
            </a:ext>
          </a:extLst>
        </xdr:cNvPr>
        <xdr:cNvSpPr/>
      </xdr:nvSpPr>
      <xdr:spPr>
        <a:xfrm>
          <a:off x="2543992" y="2604135"/>
          <a:ext cx="1925877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LICENCIA:</a:t>
          </a:r>
        </a:p>
      </xdr:txBody>
    </xdr:sp>
    <xdr:clientData/>
  </xdr:twoCellAnchor>
  <xdr:twoCellAnchor editAs="absolute">
    <xdr:from>
      <xdr:col>14</xdr:col>
      <xdr:colOff>35742</xdr:colOff>
      <xdr:row>12</xdr:row>
      <xdr:rowOff>13335</xdr:rowOff>
    </xdr:from>
    <xdr:to>
      <xdr:col>18</xdr:col>
      <xdr:colOff>416982</xdr:colOff>
      <xdr:row>13</xdr:row>
      <xdr:rowOff>320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20D6BAB4-4669-4B65-AC79-7F934D524D31}"/>
            </a:ext>
          </a:extLst>
        </xdr:cNvPr>
        <xdr:cNvSpPr/>
      </xdr:nvSpPr>
      <xdr:spPr>
        <a:xfrm>
          <a:off x="4592502" y="2604135"/>
          <a:ext cx="1844280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AUSENCIA:</a:t>
          </a:r>
        </a:p>
      </xdr:txBody>
    </xdr:sp>
    <xdr:clientData/>
  </xdr:twoCellAnchor>
  <xdr:twoCellAnchor editAs="absolute">
    <xdr:from>
      <xdr:col>1</xdr:col>
      <xdr:colOff>3810</xdr:colOff>
      <xdr:row>14</xdr:row>
      <xdr:rowOff>9525</xdr:rowOff>
    </xdr:from>
    <xdr:to>
      <xdr:col>5</xdr:col>
      <xdr:colOff>576911</xdr:colOff>
      <xdr:row>15</xdr:row>
      <xdr:rowOff>265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DCE27B48-8439-43CE-A8F7-97B385DA22C4}"/>
            </a:ext>
          </a:extLst>
        </xdr:cNvPr>
        <xdr:cNvSpPr/>
      </xdr:nvSpPr>
      <xdr:spPr>
        <a:xfrm>
          <a:off x="514350" y="2897505"/>
          <a:ext cx="1898981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7</xdr:col>
      <xdr:colOff>14152</xdr:colOff>
      <xdr:row>14</xdr:row>
      <xdr:rowOff>9525</xdr:rowOff>
    </xdr:from>
    <xdr:to>
      <xdr:col>13</xdr:col>
      <xdr:colOff>4549</xdr:colOff>
      <xdr:row>15</xdr:row>
      <xdr:rowOff>265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5134DDFD-E953-4836-811F-9B277CF6E284}"/>
            </a:ext>
          </a:extLst>
        </xdr:cNvPr>
        <xdr:cNvSpPr/>
      </xdr:nvSpPr>
      <xdr:spPr>
        <a:xfrm>
          <a:off x="2543992" y="2897505"/>
          <a:ext cx="192587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14</xdr:col>
      <xdr:colOff>9600</xdr:colOff>
      <xdr:row>14</xdr:row>
      <xdr:rowOff>9525</xdr:rowOff>
    </xdr:from>
    <xdr:to>
      <xdr:col>18</xdr:col>
      <xdr:colOff>418887</xdr:colOff>
      <xdr:row>15</xdr:row>
      <xdr:rowOff>265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47B3870B-84FC-4AC5-8BEB-33A00AFB0209}"/>
            </a:ext>
          </a:extLst>
        </xdr:cNvPr>
        <xdr:cNvSpPr/>
      </xdr:nvSpPr>
      <xdr:spPr>
        <a:xfrm>
          <a:off x="4566360" y="2897505"/>
          <a:ext cx="187232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</xdr:col>
      <xdr:colOff>3810</xdr:colOff>
      <xdr:row>16</xdr:row>
      <xdr:rowOff>179070</xdr:rowOff>
    </xdr:from>
    <xdr:to>
      <xdr:col>7</xdr:col>
      <xdr:colOff>454207</xdr:colOff>
      <xdr:row>18</xdr:row>
      <xdr:rowOff>17040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BF82B73A-F1A1-419B-AAA9-C1FDD9C30A87}"/>
            </a:ext>
          </a:extLst>
        </xdr:cNvPr>
        <xdr:cNvSpPr/>
      </xdr:nvSpPr>
      <xdr:spPr>
        <a:xfrm>
          <a:off x="514350" y="3547110"/>
          <a:ext cx="2469697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DETALLE:</a:t>
          </a:r>
        </a:p>
      </xdr:txBody>
    </xdr:sp>
    <xdr:clientData/>
  </xdr:twoCellAnchor>
  <xdr:twoCellAnchor editAs="absolute">
    <xdr:from>
      <xdr:col>8</xdr:col>
      <xdr:colOff>78921</xdr:colOff>
      <xdr:row>16</xdr:row>
      <xdr:rowOff>179070</xdr:rowOff>
    </xdr:from>
    <xdr:to>
      <xdr:col>13</xdr:col>
      <xdr:colOff>1607</xdr:colOff>
      <xdr:row>18</xdr:row>
      <xdr:rowOff>17040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03A58912-F709-4D17-B922-FC4C4D198326}"/>
            </a:ext>
          </a:extLst>
        </xdr:cNvPr>
        <xdr:cNvSpPr/>
      </xdr:nvSpPr>
      <xdr:spPr>
        <a:xfrm>
          <a:off x="3088821" y="3547110"/>
          <a:ext cx="1378106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HABERES:</a:t>
          </a:r>
        </a:p>
      </xdr:txBody>
    </xdr:sp>
    <xdr:clientData/>
  </xdr:twoCellAnchor>
  <xdr:twoCellAnchor editAs="absolute">
    <xdr:from>
      <xdr:col>14</xdr:col>
      <xdr:colOff>1980</xdr:colOff>
      <xdr:row>16</xdr:row>
      <xdr:rowOff>179070</xdr:rowOff>
    </xdr:from>
    <xdr:to>
      <xdr:col>19</xdr:col>
      <xdr:colOff>921</xdr:colOff>
      <xdr:row>18</xdr:row>
      <xdr:rowOff>17040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7AFA3A14-0929-443D-8897-5D24660506D8}"/>
            </a:ext>
          </a:extLst>
        </xdr:cNvPr>
        <xdr:cNvSpPr/>
      </xdr:nvSpPr>
      <xdr:spPr>
        <a:xfrm>
          <a:off x="4558740" y="3547110"/>
          <a:ext cx="1896321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DESCUENTO:</a:t>
          </a:r>
        </a:p>
      </xdr:txBody>
    </xdr:sp>
    <xdr:clientData/>
  </xdr:twoCellAnchor>
  <xdr:twoCellAnchor editAs="absolute">
    <xdr:from>
      <xdr:col>10</xdr:col>
      <xdr:colOff>110634</xdr:colOff>
      <xdr:row>7</xdr:row>
      <xdr:rowOff>7493</xdr:rowOff>
    </xdr:from>
    <xdr:to>
      <xdr:col>14</xdr:col>
      <xdr:colOff>94954</xdr:colOff>
      <xdr:row>7</xdr:row>
      <xdr:rowOff>186081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44F11020-A13D-422B-81C5-145C22349BB3}"/>
            </a:ext>
          </a:extLst>
        </xdr:cNvPr>
        <xdr:cNvSpPr/>
      </xdr:nvSpPr>
      <xdr:spPr>
        <a:xfrm>
          <a:off x="3501534" y="1409573"/>
          <a:ext cx="1150180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RAZÓN SOCIAL: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8</xdr:row>
      <xdr:rowOff>70173</xdr:rowOff>
    </xdr:from>
    <xdr:to>
      <xdr:col>11</xdr:col>
      <xdr:colOff>476749</xdr:colOff>
      <xdr:row>9</xdr:row>
      <xdr:rowOff>1111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6DEC938B-001E-46F4-AD08-6102117DD6D0}"/>
            </a:ext>
          </a:extLst>
        </xdr:cNvPr>
        <xdr:cNvSpPr/>
      </xdr:nvSpPr>
      <xdr:spPr>
        <a:xfrm>
          <a:off x="3501535" y="1693233"/>
          <a:ext cx="480414" cy="13667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9</xdr:row>
      <xdr:rowOff>68036</xdr:rowOff>
    </xdr:from>
    <xdr:to>
      <xdr:col>12</xdr:col>
      <xdr:colOff>271009</xdr:colOff>
      <xdr:row>10</xdr:row>
      <xdr:rowOff>3602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51709DFC-1B8E-4500-9F5A-69E6D187EBFD}"/>
            </a:ext>
          </a:extLst>
        </xdr:cNvPr>
        <xdr:cNvSpPr/>
      </xdr:nvSpPr>
      <xdr:spPr>
        <a:xfrm>
          <a:off x="3501535" y="1896836"/>
          <a:ext cx="914754" cy="14892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DIRECCIÓN:</a:t>
          </a:r>
        </a:p>
      </xdr:txBody>
    </xdr:sp>
    <xdr:clientData/>
  </xdr:twoCellAnchor>
  <xdr:twoCellAnchor editAs="absolute">
    <xdr:from>
      <xdr:col>10</xdr:col>
      <xdr:colOff>110635</xdr:colOff>
      <xdr:row>10</xdr:row>
      <xdr:rowOff>51122</xdr:rowOff>
    </xdr:from>
    <xdr:to>
      <xdr:col>11</xdr:col>
      <xdr:colOff>608194</xdr:colOff>
      <xdr:row>11</xdr:row>
      <xdr:rowOff>1110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65D25DFD-C189-447A-82F0-468698DA4656}"/>
            </a:ext>
          </a:extLst>
        </xdr:cNvPr>
        <xdr:cNvSpPr/>
      </xdr:nvSpPr>
      <xdr:spPr>
        <a:xfrm>
          <a:off x="3501535" y="2093282"/>
          <a:ext cx="611859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EMAIL: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359797</xdr:colOff>
      <xdr:row>2</xdr:row>
      <xdr:rowOff>8245</xdr:rowOff>
    </xdr:from>
    <xdr:to>
      <xdr:col>15</xdr:col>
      <xdr:colOff>302812</xdr:colOff>
      <xdr:row>2</xdr:row>
      <xdr:rowOff>181427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3A47823A-A44A-4AAA-810F-8F231ED8DACB}"/>
            </a:ext>
          </a:extLst>
        </xdr:cNvPr>
        <xdr:cNvSpPr/>
      </xdr:nvSpPr>
      <xdr:spPr>
        <a:xfrm>
          <a:off x="1838077" y="374005"/>
          <a:ext cx="3120555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accent1">
                  <a:lumMod val="75000"/>
                </a:schemeClr>
              </a:solidFill>
            </a:rPr>
            <a:t>LIQUIDACIÓN DE SUELDO</a:t>
          </a:r>
          <a:r>
            <a:rPr lang="es-CL" sz="1400" b="1" baseline="0">
              <a:solidFill>
                <a:schemeClr val="accent1">
                  <a:lumMod val="75000"/>
                </a:schemeClr>
              </a:solidFill>
            </a:rPr>
            <a:t> MENSUAL</a:t>
          </a:r>
          <a:endParaRPr lang="es-CL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64976</xdr:colOff>
      <xdr:row>51</xdr:row>
      <xdr:rowOff>8250</xdr:rowOff>
    </xdr:from>
    <xdr:to>
      <xdr:col>18</xdr:col>
      <xdr:colOff>242662</xdr:colOff>
      <xdr:row>51</xdr:row>
      <xdr:rowOff>181432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2D8D9A6D-9185-4502-9F5F-8865152FCDD6}"/>
            </a:ext>
          </a:extLst>
        </xdr:cNvPr>
        <xdr:cNvSpPr/>
      </xdr:nvSpPr>
      <xdr:spPr>
        <a:xfrm>
          <a:off x="4720796" y="8458830"/>
          <a:ext cx="1541666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50" b="1">
              <a:solidFill>
                <a:schemeClr val="accent1">
                  <a:lumMod val="75000"/>
                </a:schemeClr>
              </a:solidFill>
              <a:latin typeface="Raleway" panose="020B0503030101060003" pitchFamily="34" charset="0"/>
            </a:rPr>
            <a:t>FIRMA TRABAJADOR</a:t>
          </a:r>
        </a:p>
      </xdr:txBody>
    </xdr:sp>
    <xdr:clientData/>
  </xdr:twoCellAnchor>
  <xdr:twoCellAnchor>
    <xdr:from>
      <xdr:col>13</xdr:col>
      <xdr:colOff>54429</xdr:colOff>
      <xdr:row>50</xdr:row>
      <xdr:rowOff>63500</xdr:rowOff>
    </xdr:from>
    <xdr:to>
      <xdr:col>18</xdr:col>
      <xdr:colOff>411159</xdr:colOff>
      <xdr:row>50</xdr:row>
      <xdr:rowOff>63500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82820E0C-1482-4D05-88BE-740E049E1BC7}"/>
            </a:ext>
          </a:extLst>
        </xdr:cNvPr>
        <xdr:cNvCxnSpPr/>
      </xdr:nvCxnSpPr>
      <xdr:spPr>
        <a:xfrm>
          <a:off x="4519749" y="8331200"/>
          <a:ext cx="1911210" cy="0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10582</xdr:colOff>
      <xdr:row>25</xdr:row>
      <xdr:rowOff>15877</xdr:rowOff>
    </xdr:from>
    <xdr:to>
      <xdr:col>7</xdr:col>
      <xdr:colOff>412750</xdr:colOff>
      <xdr:row>26</xdr:row>
      <xdr:rowOff>21167</xdr:rowOff>
    </xdr:to>
    <xdr:sp macro="" textlink="">
      <xdr:nvSpPr>
        <xdr:cNvPr id="53" name="Shape 19">
          <a:extLst>
            <a:ext uri="{FF2B5EF4-FFF2-40B4-BE49-F238E27FC236}">
              <a16:creationId xmlns:a16="http://schemas.microsoft.com/office/drawing/2014/main" id="{B8A87FCE-F91B-4497-97D2-57716CF2D51D}"/>
            </a:ext>
          </a:extLst>
        </xdr:cNvPr>
        <xdr:cNvSpPr/>
      </xdr:nvSpPr>
      <xdr:spPr>
        <a:xfrm>
          <a:off x="521122" y="4785997"/>
          <a:ext cx="2421468" cy="2034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317</xdr:colOff>
      <xdr:row>25</xdr:row>
      <xdr:rowOff>5292</xdr:rowOff>
    </xdr:from>
    <xdr:to>
      <xdr:col>13</xdr:col>
      <xdr:colOff>2540</xdr:colOff>
      <xdr:row>25</xdr:row>
      <xdr:rowOff>189549</xdr:rowOff>
    </xdr:to>
    <xdr:sp macro="" textlink="">
      <xdr:nvSpPr>
        <xdr:cNvPr id="54" name="Shape 19">
          <a:extLst>
            <a:ext uri="{FF2B5EF4-FFF2-40B4-BE49-F238E27FC236}">
              <a16:creationId xmlns:a16="http://schemas.microsoft.com/office/drawing/2014/main" id="{C3B7AA5D-7E38-470D-BF91-8DD6FD0CFEEE}"/>
            </a:ext>
          </a:extLst>
        </xdr:cNvPr>
        <xdr:cNvSpPr/>
      </xdr:nvSpPr>
      <xdr:spPr>
        <a:xfrm>
          <a:off x="3105467" y="4775412"/>
          <a:ext cx="1359853" cy="18425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73550</xdr:colOff>
      <xdr:row>25</xdr:row>
      <xdr:rowOff>21167</xdr:rowOff>
    </xdr:from>
    <xdr:to>
      <xdr:col>19</xdr:col>
      <xdr:colOff>24338</xdr:colOff>
      <xdr:row>26</xdr:row>
      <xdr:rowOff>22029</xdr:rowOff>
    </xdr:to>
    <xdr:sp macro="" textlink="">
      <xdr:nvSpPr>
        <xdr:cNvPr id="55" name="Shape 19">
          <a:extLst>
            <a:ext uri="{FF2B5EF4-FFF2-40B4-BE49-F238E27FC236}">
              <a16:creationId xmlns:a16="http://schemas.microsoft.com/office/drawing/2014/main" id="{28595630-600C-4C24-984D-01E3580BCCD0}"/>
            </a:ext>
          </a:extLst>
        </xdr:cNvPr>
        <xdr:cNvSpPr/>
      </xdr:nvSpPr>
      <xdr:spPr>
        <a:xfrm>
          <a:off x="4630310" y="4791287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55563</xdr:colOff>
      <xdr:row>1</xdr:row>
      <xdr:rowOff>79377</xdr:rowOff>
    </xdr:from>
    <xdr:to>
      <xdr:col>5</xdr:col>
      <xdr:colOff>148593</xdr:colOff>
      <xdr:row>3</xdr:row>
      <xdr:rowOff>147640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84273471-0844-41F1-AE17-04086DDDD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03" y="262257"/>
          <a:ext cx="1418910" cy="494983"/>
        </a:xfrm>
        <a:prstGeom prst="rect">
          <a:avLst/>
        </a:prstGeom>
      </xdr:spPr>
    </xdr:pic>
    <xdr:clientData/>
  </xdr:twoCellAnchor>
  <xdr:twoCellAnchor editAs="absolute">
    <xdr:from>
      <xdr:col>1</xdr:col>
      <xdr:colOff>21166</xdr:colOff>
      <xdr:row>26</xdr:row>
      <xdr:rowOff>63500</xdr:rowOff>
    </xdr:from>
    <xdr:to>
      <xdr:col>7</xdr:col>
      <xdr:colOff>423334</xdr:colOff>
      <xdr:row>27</xdr:row>
      <xdr:rowOff>185206</xdr:rowOff>
    </xdr:to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20FF052F-7AEF-4ED5-ACD3-B53A94C4CD8C}"/>
            </a:ext>
          </a:extLst>
        </xdr:cNvPr>
        <xdr:cNvSpPr/>
      </xdr:nvSpPr>
      <xdr:spPr>
        <a:xfrm>
          <a:off x="531706" y="503174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63501</xdr:colOff>
      <xdr:row>27</xdr:row>
      <xdr:rowOff>0</xdr:rowOff>
    </xdr:from>
    <xdr:to>
      <xdr:col>13</xdr:col>
      <xdr:colOff>531</xdr:colOff>
      <xdr:row>28</xdr:row>
      <xdr:rowOff>10583</xdr:rowOff>
    </xdr:to>
    <xdr:sp macro="" textlink="">
      <xdr:nvSpPr>
        <xdr:cNvPr id="58" name="Shape 19">
          <a:extLst>
            <a:ext uri="{FF2B5EF4-FFF2-40B4-BE49-F238E27FC236}">
              <a16:creationId xmlns:a16="http://schemas.microsoft.com/office/drawing/2014/main" id="{5705C328-7022-4AD3-8E04-9EBC770B1874}"/>
            </a:ext>
          </a:extLst>
        </xdr:cNvPr>
        <xdr:cNvSpPr/>
      </xdr:nvSpPr>
      <xdr:spPr>
        <a:xfrm>
          <a:off x="3073401" y="5044440"/>
          <a:ext cx="138991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74084</xdr:colOff>
      <xdr:row>27</xdr:row>
      <xdr:rowOff>0</xdr:rowOff>
    </xdr:from>
    <xdr:to>
      <xdr:col>19</xdr:col>
      <xdr:colOff>24872</xdr:colOff>
      <xdr:row>28</xdr:row>
      <xdr:rowOff>862</xdr:rowOff>
    </xdr:to>
    <xdr:sp macro="" textlink="">
      <xdr:nvSpPr>
        <xdr:cNvPr id="59" name="Shape 19">
          <a:extLst>
            <a:ext uri="{FF2B5EF4-FFF2-40B4-BE49-F238E27FC236}">
              <a16:creationId xmlns:a16="http://schemas.microsoft.com/office/drawing/2014/main" id="{BFD4016C-792D-479A-BE12-ADA52562D2F3}"/>
            </a:ext>
          </a:extLst>
        </xdr:cNvPr>
        <xdr:cNvSpPr/>
      </xdr:nvSpPr>
      <xdr:spPr>
        <a:xfrm>
          <a:off x="4630844" y="504444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29</xdr:row>
      <xdr:rowOff>0</xdr:rowOff>
    </xdr:from>
    <xdr:to>
      <xdr:col>7</xdr:col>
      <xdr:colOff>402168</xdr:colOff>
      <xdr:row>29</xdr:row>
      <xdr:rowOff>188381</xdr:rowOff>
    </xdr:to>
    <xdr:sp macro="" textlink="">
      <xdr:nvSpPr>
        <xdr:cNvPr id="60" name="Shape 19">
          <a:extLst>
            <a:ext uri="{FF2B5EF4-FFF2-40B4-BE49-F238E27FC236}">
              <a16:creationId xmlns:a16="http://schemas.microsoft.com/office/drawing/2014/main" id="{6C83B435-BD52-49B7-860B-0D4CBD4DDFAC}"/>
            </a:ext>
          </a:extLst>
        </xdr:cNvPr>
        <xdr:cNvSpPr/>
      </xdr:nvSpPr>
      <xdr:spPr>
        <a:xfrm>
          <a:off x="510540" y="529590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29</xdr:row>
      <xdr:rowOff>0</xdr:rowOff>
    </xdr:from>
    <xdr:to>
      <xdr:col>13</xdr:col>
      <xdr:colOff>36090</xdr:colOff>
      <xdr:row>30</xdr:row>
      <xdr:rowOff>10583</xdr:rowOff>
    </xdr:to>
    <xdr:sp macro="" textlink="">
      <xdr:nvSpPr>
        <xdr:cNvPr id="61" name="Shape 19">
          <a:extLst>
            <a:ext uri="{FF2B5EF4-FFF2-40B4-BE49-F238E27FC236}">
              <a16:creationId xmlns:a16="http://schemas.microsoft.com/office/drawing/2014/main" id="{DCEF6081-C897-4A9A-8E09-185D48BFF793}"/>
            </a:ext>
          </a:extLst>
        </xdr:cNvPr>
        <xdr:cNvSpPr/>
      </xdr:nvSpPr>
      <xdr:spPr>
        <a:xfrm>
          <a:off x="3108960" y="52959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10583</xdr:colOff>
      <xdr:row>29</xdr:row>
      <xdr:rowOff>0</xdr:rowOff>
    </xdr:from>
    <xdr:to>
      <xdr:col>19</xdr:col>
      <xdr:colOff>60431</xdr:colOff>
      <xdr:row>30</xdr:row>
      <xdr:rowOff>862</xdr:rowOff>
    </xdr:to>
    <xdr:sp macro="" textlink="">
      <xdr:nvSpPr>
        <xdr:cNvPr id="62" name="Shape 19">
          <a:extLst>
            <a:ext uri="{FF2B5EF4-FFF2-40B4-BE49-F238E27FC236}">
              <a16:creationId xmlns:a16="http://schemas.microsoft.com/office/drawing/2014/main" id="{55ED8F1E-CD49-4816-BC65-09A0A2128DBB}"/>
            </a:ext>
          </a:extLst>
        </xdr:cNvPr>
        <xdr:cNvSpPr/>
      </xdr:nvSpPr>
      <xdr:spPr>
        <a:xfrm>
          <a:off x="4666403" y="529590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500063</xdr:colOff>
      <xdr:row>51</xdr:row>
      <xdr:rowOff>174625</xdr:rowOff>
    </xdr:from>
    <xdr:to>
      <xdr:col>19</xdr:col>
      <xdr:colOff>113770</xdr:colOff>
      <xdr:row>58</xdr:row>
      <xdr:rowOff>135776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9E7ACA-496A-40E3-8C4A-FD3124EC1E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6"/>
        <a:stretch/>
      </xdr:blipFill>
      <xdr:spPr>
        <a:xfrm>
          <a:off x="500063" y="8876665"/>
          <a:ext cx="6067847" cy="124893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97020</xdr:colOff>
      <xdr:row>12</xdr:row>
      <xdr:rowOff>36880</xdr:rowOff>
    </xdr:from>
    <xdr:to>
      <xdr:col>12</xdr:col>
      <xdr:colOff>212907</xdr:colOff>
      <xdr:row>13</xdr:row>
      <xdr:rowOff>1357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292361E-561B-4853-AA93-353C78D601EE}"/>
            </a:ext>
          </a:extLst>
        </xdr:cNvPr>
        <xdr:cNvSpPr/>
      </xdr:nvSpPr>
      <xdr:spPr>
        <a:xfrm>
          <a:off x="2613525" y="2627680"/>
          <a:ext cx="1740852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LICENCIA</a:t>
          </a:r>
        </a:p>
      </xdr:txBody>
    </xdr:sp>
    <xdr:clientData/>
  </xdr:twoCellAnchor>
  <xdr:twoCellAnchor editAs="absolute">
    <xdr:from>
      <xdr:col>15</xdr:col>
      <xdr:colOff>500</xdr:colOff>
      <xdr:row>12</xdr:row>
      <xdr:rowOff>36880</xdr:rowOff>
    </xdr:from>
    <xdr:to>
      <xdr:col>18</xdr:col>
      <xdr:colOff>345305</xdr:colOff>
      <xdr:row>13</xdr:row>
      <xdr:rowOff>1357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CC34E21-3CE5-43D3-BFE8-292028816810}"/>
            </a:ext>
          </a:extLst>
        </xdr:cNvPr>
        <xdr:cNvSpPr/>
      </xdr:nvSpPr>
      <xdr:spPr>
        <a:xfrm>
          <a:off x="4644890" y="2627680"/>
          <a:ext cx="1720215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AUSENCIA</a:t>
          </a:r>
        </a:p>
      </xdr:txBody>
    </xdr:sp>
    <xdr:clientData/>
  </xdr:twoCellAnchor>
  <xdr:twoCellAnchor editAs="absolute">
    <xdr:from>
      <xdr:col>1</xdr:col>
      <xdr:colOff>360998</xdr:colOff>
      <xdr:row>17</xdr:row>
      <xdr:rowOff>2007</xdr:rowOff>
    </xdr:from>
    <xdr:to>
      <xdr:col>7</xdr:col>
      <xdr:colOff>74160</xdr:colOff>
      <xdr:row>18</xdr:row>
      <xdr:rowOff>542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DC79F39-80FE-4060-B9EE-EA231743DC26}"/>
            </a:ext>
          </a:extLst>
        </xdr:cNvPr>
        <xdr:cNvSpPr/>
      </xdr:nvSpPr>
      <xdr:spPr>
        <a:xfrm>
          <a:off x="867728" y="3552927"/>
          <a:ext cx="1736272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DETALLES:</a:t>
          </a:r>
        </a:p>
      </xdr:txBody>
    </xdr:sp>
    <xdr:clientData/>
  </xdr:twoCellAnchor>
  <xdr:twoCellAnchor editAs="absolute">
    <xdr:from>
      <xdr:col>7</xdr:col>
      <xdr:colOff>365625</xdr:colOff>
      <xdr:row>17</xdr:row>
      <xdr:rowOff>407</xdr:rowOff>
    </xdr:from>
    <xdr:to>
      <xdr:col>15</xdr:col>
      <xdr:colOff>2405</xdr:colOff>
      <xdr:row>17</xdr:row>
      <xdr:rowOff>191042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E0415846-17F7-4DE9-B471-4AA5B175FA8B}"/>
            </a:ext>
          </a:extLst>
        </xdr:cNvPr>
        <xdr:cNvSpPr/>
      </xdr:nvSpPr>
      <xdr:spPr>
        <a:xfrm>
          <a:off x="2899275" y="3549422"/>
          <a:ext cx="1758950" cy="192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HABERES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15</xdr:col>
      <xdr:colOff>2405</xdr:colOff>
      <xdr:row>17</xdr:row>
      <xdr:rowOff>2008</xdr:rowOff>
    </xdr:from>
    <xdr:to>
      <xdr:col>18</xdr:col>
      <xdr:colOff>358640</xdr:colOff>
      <xdr:row>18</xdr:row>
      <xdr:rowOff>543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2E7161A-0249-4693-B24B-386AE6BAE59A}"/>
            </a:ext>
          </a:extLst>
        </xdr:cNvPr>
        <xdr:cNvSpPr/>
      </xdr:nvSpPr>
      <xdr:spPr>
        <a:xfrm>
          <a:off x="4658225" y="3552928"/>
          <a:ext cx="1716405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DESCUENTO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</xdr:col>
      <xdr:colOff>0</xdr:colOff>
      <xdr:row>21</xdr:row>
      <xdr:rowOff>184</xdr:rowOff>
    </xdr:from>
    <xdr:to>
      <xdr:col>7</xdr:col>
      <xdr:colOff>437062</xdr:colOff>
      <xdr:row>22</xdr:row>
      <xdr:rowOff>2271</xdr:rowOff>
    </xdr:to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BDACB92C-55D4-4406-A78A-251AD4062A73}"/>
            </a:ext>
          </a:extLst>
        </xdr:cNvPr>
        <xdr:cNvSpPr/>
      </xdr:nvSpPr>
      <xdr:spPr>
        <a:xfrm>
          <a:off x="510540" y="4267384"/>
          <a:ext cx="2460172" cy="20020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18488</xdr:colOff>
      <xdr:row>21</xdr:row>
      <xdr:rowOff>3542</xdr:rowOff>
    </xdr:from>
    <xdr:to>
      <xdr:col>13</xdr:col>
      <xdr:colOff>18595</xdr:colOff>
      <xdr:row>22</xdr:row>
      <xdr:rowOff>17141</xdr:rowOff>
    </xdr:to>
    <xdr:sp macro="" textlink="">
      <xdr:nvSpPr>
        <xdr:cNvPr id="9" name="Shape 19">
          <a:extLst>
            <a:ext uri="{FF2B5EF4-FFF2-40B4-BE49-F238E27FC236}">
              <a16:creationId xmlns:a16="http://schemas.microsoft.com/office/drawing/2014/main" id="{178CF919-1B08-4D6C-B276-E5FE1100B2D4}"/>
            </a:ext>
          </a:extLst>
        </xdr:cNvPr>
        <xdr:cNvSpPr/>
      </xdr:nvSpPr>
      <xdr:spPr>
        <a:xfrm>
          <a:off x="3131258" y="4270742"/>
          <a:ext cx="1362182" cy="20028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58386</xdr:colOff>
      <xdr:row>21</xdr:row>
      <xdr:rowOff>184</xdr:rowOff>
    </xdr:from>
    <xdr:to>
      <xdr:col>19</xdr:col>
      <xdr:colOff>18382</xdr:colOff>
      <xdr:row>22</xdr:row>
      <xdr:rowOff>2190</xdr:rowOff>
    </xdr:to>
    <xdr:sp macro="" textlink="">
      <xdr:nvSpPr>
        <xdr:cNvPr id="10" name="Shape 19">
          <a:extLst>
            <a:ext uri="{FF2B5EF4-FFF2-40B4-BE49-F238E27FC236}">
              <a16:creationId xmlns:a16="http://schemas.microsoft.com/office/drawing/2014/main" id="{9CFFCA50-9AEC-4E93-80E4-302EA2BF4177}"/>
            </a:ext>
          </a:extLst>
        </xdr:cNvPr>
        <xdr:cNvSpPr/>
      </xdr:nvSpPr>
      <xdr:spPr>
        <a:xfrm>
          <a:off x="4618956" y="4267384"/>
          <a:ext cx="1849756" cy="2001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23</xdr:row>
      <xdr:rowOff>853</xdr:rowOff>
    </xdr:from>
    <xdr:to>
      <xdr:col>7</xdr:col>
      <xdr:colOff>437062</xdr:colOff>
      <xdr:row>24</xdr:row>
      <xdr:rowOff>1796</xdr:rowOff>
    </xdr:to>
    <xdr:sp macro="" textlink="">
      <xdr:nvSpPr>
        <xdr:cNvPr id="11" name="Shape 19">
          <a:extLst>
            <a:ext uri="{FF2B5EF4-FFF2-40B4-BE49-F238E27FC236}">
              <a16:creationId xmlns:a16="http://schemas.microsoft.com/office/drawing/2014/main" id="{4DEC210C-FABB-4040-B2B8-18DA706D1C1A}"/>
            </a:ext>
          </a:extLst>
        </xdr:cNvPr>
        <xdr:cNvSpPr/>
      </xdr:nvSpPr>
      <xdr:spPr>
        <a:xfrm>
          <a:off x="510540" y="4519513"/>
          <a:ext cx="2460172" cy="1990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79979</xdr:colOff>
      <xdr:row>23</xdr:row>
      <xdr:rowOff>3541</xdr:rowOff>
    </xdr:from>
    <xdr:to>
      <xdr:col>13</xdr:col>
      <xdr:colOff>18702</xdr:colOff>
      <xdr:row>24</xdr:row>
      <xdr:rowOff>16666</xdr:rowOff>
    </xdr:to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6837843C-0ADD-4390-A5F2-29E0907436D2}"/>
            </a:ext>
          </a:extLst>
        </xdr:cNvPr>
        <xdr:cNvSpPr/>
      </xdr:nvSpPr>
      <xdr:spPr>
        <a:xfrm>
          <a:off x="3089879" y="4522201"/>
          <a:ext cx="1390333" cy="19981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74367</xdr:colOff>
      <xdr:row>23</xdr:row>
      <xdr:rowOff>853</xdr:rowOff>
    </xdr:from>
    <xdr:to>
      <xdr:col>19</xdr:col>
      <xdr:colOff>21345</xdr:colOff>
      <xdr:row>24</xdr:row>
      <xdr:rowOff>1715</xdr:rowOff>
    </xdr:to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76C7D636-EC46-4733-8707-897FB87EC9FE}"/>
            </a:ext>
          </a:extLst>
        </xdr:cNvPr>
        <xdr:cNvSpPr/>
      </xdr:nvSpPr>
      <xdr:spPr>
        <a:xfrm>
          <a:off x="4631127" y="4519513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491810</xdr:colOff>
      <xdr:row>33</xdr:row>
      <xdr:rowOff>21453</xdr:rowOff>
    </xdr:from>
    <xdr:to>
      <xdr:col>7</xdr:col>
      <xdr:colOff>456432</xdr:colOff>
      <xdr:row>34</xdr:row>
      <xdr:rowOff>17693</xdr:rowOff>
    </xdr:to>
    <xdr:sp macro="" textlink="">
      <xdr:nvSpPr>
        <xdr:cNvPr id="14" name="Shape 19">
          <a:extLst>
            <a:ext uri="{FF2B5EF4-FFF2-40B4-BE49-F238E27FC236}">
              <a16:creationId xmlns:a16="http://schemas.microsoft.com/office/drawing/2014/main" id="{9DEC3D54-0EF5-434A-A2C0-8512C5305E67}"/>
            </a:ext>
          </a:extLst>
        </xdr:cNvPr>
        <xdr:cNvSpPr/>
      </xdr:nvSpPr>
      <xdr:spPr>
        <a:xfrm>
          <a:off x="501335" y="6026013"/>
          <a:ext cx="2484937" cy="19626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1134</xdr:colOff>
      <xdr:row>33</xdr:row>
      <xdr:rowOff>17087</xdr:rowOff>
    </xdr:from>
    <xdr:to>
      <xdr:col>13</xdr:col>
      <xdr:colOff>21772</xdr:colOff>
      <xdr:row>34</xdr:row>
      <xdr:rowOff>1102</xdr:rowOff>
    </xdr:to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155CFA0D-EB32-4076-8E70-82FE624785AF}"/>
            </a:ext>
          </a:extLst>
        </xdr:cNvPr>
        <xdr:cNvSpPr/>
      </xdr:nvSpPr>
      <xdr:spPr>
        <a:xfrm>
          <a:off x="3102474" y="6006407"/>
          <a:ext cx="1380808" cy="18848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18201</xdr:colOff>
      <xdr:row>33</xdr:row>
      <xdr:rowOff>41062</xdr:rowOff>
    </xdr:from>
    <xdr:to>
      <xdr:col>19</xdr:col>
      <xdr:colOff>40394</xdr:colOff>
      <xdr:row>34</xdr:row>
      <xdr:rowOff>18459</xdr:rowOff>
    </xdr:to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0F5B795D-AA37-4131-9758-AABC67A13443}"/>
            </a:ext>
          </a:extLst>
        </xdr:cNvPr>
        <xdr:cNvSpPr/>
      </xdr:nvSpPr>
      <xdr:spPr>
        <a:xfrm>
          <a:off x="4670211" y="6038002"/>
          <a:ext cx="1824323" cy="188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0</xdr:col>
      <xdr:colOff>491808</xdr:colOff>
      <xdr:row>34</xdr:row>
      <xdr:rowOff>57028</xdr:rowOff>
    </xdr:from>
    <xdr:to>
      <xdr:col>7</xdr:col>
      <xdr:colOff>456430</xdr:colOff>
      <xdr:row>35</xdr:row>
      <xdr:rowOff>170551</xdr:rowOff>
    </xdr:to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91878679-76A8-49F9-A5CE-0E765B0B9526}"/>
            </a:ext>
          </a:extLst>
        </xdr:cNvPr>
        <xdr:cNvSpPr/>
      </xdr:nvSpPr>
      <xdr:spPr>
        <a:xfrm>
          <a:off x="501333" y="6255898"/>
          <a:ext cx="2484937" cy="199248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711</xdr:colOff>
      <xdr:row>35</xdr:row>
      <xdr:rowOff>19418</xdr:rowOff>
    </xdr:from>
    <xdr:to>
      <xdr:col>12</xdr:col>
      <xdr:colOff>302231</xdr:colOff>
      <xdr:row>36</xdr:row>
      <xdr:rowOff>85</xdr:rowOff>
    </xdr:to>
    <xdr:sp macro="" textlink="">
      <xdr:nvSpPr>
        <xdr:cNvPr id="18" name="Shape 19">
          <a:extLst>
            <a:ext uri="{FF2B5EF4-FFF2-40B4-BE49-F238E27FC236}">
              <a16:creationId xmlns:a16="http://schemas.microsoft.com/office/drawing/2014/main" id="{ABBDFD06-CD54-4F56-8A29-15B43B0CE452}"/>
            </a:ext>
          </a:extLst>
        </xdr:cNvPr>
        <xdr:cNvSpPr/>
      </xdr:nvSpPr>
      <xdr:spPr>
        <a:xfrm>
          <a:off x="3092526" y="6277343"/>
          <a:ext cx="1354985" cy="190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78740</xdr:colOff>
      <xdr:row>35</xdr:row>
      <xdr:rowOff>16932</xdr:rowOff>
    </xdr:from>
    <xdr:to>
      <xdr:col>19</xdr:col>
      <xdr:colOff>40398</xdr:colOff>
      <xdr:row>35</xdr:row>
      <xdr:rowOff>188995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3B8750F9-FDEA-4066-8BAC-A57A2461F417}"/>
            </a:ext>
          </a:extLst>
        </xdr:cNvPr>
        <xdr:cNvSpPr/>
      </xdr:nvSpPr>
      <xdr:spPr>
        <a:xfrm>
          <a:off x="4635500" y="6284382"/>
          <a:ext cx="1859038" cy="17587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19368</xdr:colOff>
      <xdr:row>37</xdr:row>
      <xdr:rowOff>609</xdr:rowOff>
    </xdr:from>
    <xdr:to>
      <xdr:col>7</xdr:col>
      <xdr:colOff>464050</xdr:colOff>
      <xdr:row>37</xdr:row>
      <xdr:rowOff>189002</xdr:rowOff>
    </xdr:to>
    <xdr:sp macro="" textlink="">
      <xdr:nvSpPr>
        <xdr:cNvPr id="20" name="Shape 19">
          <a:extLst>
            <a:ext uri="{FF2B5EF4-FFF2-40B4-BE49-F238E27FC236}">
              <a16:creationId xmlns:a16="http://schemas.microsoft.com/office/drawing/2014/main" id="{D06B06CB-F8B4-4DBD-A1A6-A1C811A9BFF1}"/>
            </a:ext>
          </a:extLst>
        </xdr:cNvPr>
        <xdr:cNvSpPr/>
      </xdr:nvSpPr>
      <xdr:spPr>
        <a:xfrm>
          <a:off x="516573" y="6519519"/>
          <a:ext cx="2484937" cy="19982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1451</xdr:colOff>
      <xdr:row>37</xdr:row>
      <xdr:rowOff>17332</xdr:rowOff>
    </xdr:from>
    <xdr:to>
      <xdr:col>13</xdr:col>
      <xdr:colOff>20638</xdr:colOff>
      <xdr:row>38</xdr:row>
      <xdr:rowOff>21061</xdr:rowOff>
    </xdr:to>
    <xdr:sp macro="" textlink="">
      <xdr:nvSpPr>
        <xdr:cNvPr id="21" name="Shape 19">
          <a:extLst>
            <a:ext uri="{FF2B5EF4-FFF2-40B4-BE49-F238E27FC236}">
              <a16:creationId xmlns:a16="http://schemas.microsoft.com/office/drawing/2014/main" id="{ECD79501-5504-4D43-B50C-5F5998C84738}"/>
            </a:ext>
          </a:extLst>
        </xdr:cNvPr>
        <xdr:cNvSpPr/>
      </xdr:nvSpPr>
      <xdr:spPr>
        <a:xfrm>
          <a:off x="3110411" y="6551482"/>
          <a:ext cx="1371737" cy="19422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72815</xdr:colOff>
      <xdr:row>37</xdr:row>
      <xdr:rowOff>1457</xdr:rowOff>
    </xdr:from>
    <xdr:to>
      <xdr:col>19</xdr:col>
      <xdr:colOff>60823</xdr:colOff>
      <xdr:row>38</xdr:row>
      <xdr:rowOff>16086</xdr:rowOff>
    </xdr:to>
    <xdr:sp macro="" textlink="">
      <xdr:nvSpPr>
        <xdr:cNvPr id="22" name="Shape 19">
          <a:extLst>
            <a:ext uri="{FF2B5EF4-FFF2-40B4-BE49-F238E27FC236}">
              <a16:creationId xmlns:a16="http://schemas.microsoft.com/office/drawing/2014/main" id="{D49E8276-3729-428E-B664-BAC58E68C625}"/>
            </a:ext>
          </a:extLst>
        </xdr:cNvPr>
        <xdr:cNvSpPr/>
      </xdr:nvSpPr>
      <xdr:spPr>
        <a:xfrm>
          <a:off x="4629575" y="6531797"/>
          <a:ext cx="1889198" cy="19369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955</xdr:colOff>
      <xdr:row>39</xdr:row>
      <xdr:rowOff>20097</xdr:rowOff>
    </xdr:from>
    <xdr:to>
      <xdr:col>8</xdr:col>
      <xdr:colOff>1137</xdr:colOff>
      <xdr:row>40</xdr:row>
      <xdr:rowOff>19152</xdr:rowOff>
    </xdr:to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7B903A80-618A-462A-B4C5-3866FD4EACE1}"/>
            </a:ext>
          </a:extLst>
        </xdr:cNvPr>
        <xdr:cNvSpPr/>
      </xdr:nvSpPr>
      <xdr:spPr>
        <a:xfrm>
          <a:off x="508955" y="6807612"/>
          <a:ext cx="2484937" cy="2105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16374</xdr:colOff>
      <xdr:row>39</xdr:row>
      <xdr:rowOff>17194</xdr:rowOff>
    </xdr:from>
    <xdr:to>
      <xdr:col>13</xdr:col>
      <xdr:colOff>21772</xdr:colOff>
      <xdr:row>40</xdr:row>
      <xdr:rowOff>15713</xdr:rowOff>
    </xdr:to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E230477C-3213-46C8-BA96-1EBB16C3BEBA}"/>
            </a:ext>
          </a:extLst>
        </xdr:cNvPr>
        <xdr:cNvSpPr/>
      </xdr:nvSpPr>
      <xdr:spPr>
        <a:xfrm>
          <a:off x="3117714" y="6810424"/>
          <a:ext cx="1380808" cy="18901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57543</xdr:colOff>
      <xdr:row>38</xdr:row>
      <xdr:rowOff>75131</xdr:rowOff>
    </xdr:from>
    <xdr:to>
      <xdr:col>19</xdr:col>
      <xdr:colOff>21348</xdr:colOff>
      <xdr:row>40</xdr:row>
      <xdr:rowOff>19072</xdr:rowOff>
    </xdr:to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90CE0716-6380-418E-AED5-6B87498DA77F}"/>
            </a:ext>
          </a:extLst>
        </xdr:cNvPr>
        <xdr:cNvSpPr/>
      </xdr:nvSpPr>
      <xdr:spPr>
        <a:xfrm>
          <a:off x="4618113" y="6795971"/>
          <a:ext cx="1868805" cy="2049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3493</xdr:colOff>
      <xdr:row>42</xdr:row>
      <xdr:rowOff>22204</xdr:rowOff>
    </xdr:from>
    <xdr:to>
      <xdr:col>13</xdr:col>
      <xdr:colOff>20321</xdr:colOff>
      <xdr:row>43</xdr:row>
      <xdr:rowOff>17617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62A9543C-5837-49E1-ACA2-A576482C8701}"/>
            </a:ext>
          </a:extLst>
        </xdr:cNvPr>
        <xdr:cNvSpPr/>
      </xdr:nvSpPr>
      <xdr:spPr>
        <a:xfrm>
          <a:off x="3104833" y="7322164"/>
          <a:ext cx="1371283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15</xdr:col>
      <xdr:colOff>1236</xdr:colOff>
      <xdr:row>42</xdr:row>
      <xdr:rowOff>15431</xdr:rowOff>
    </xdr:from>
    <xdr:to>
      <xdr:col>19</xdr:col>
      <xdr:colOff>57253</xdr:colOff>
      <xdr:row>43</xdr:row>
      <xdr:rowOff>16559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136E038D-9989-4CF6-85AB-E8507E463F39}"/>
            </a:ext>
          </a:extLst>
        </xdr:cNvPr>
        <xdr:cNvSpPr/>
      </xdr:nvSpPr>
      <xdr:spPr>
        <a:xfrm>
          <a:off x="4657056" y="7311581"/>
          <a:ext cx="1841002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22346</xdr:colOff>
      <xdr:row>45</xdr:row>
      <xdr:rowOff>39934</xdr:rowOff>
    </xdr:from>
    <xdr:to>
      <xdr:col>7</xdr:col>
      <xdr:colOff>251459</xdr:colOff>
      <xdr:row>46</xdr:row>
      <xdr:rowOff>92709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30D7A5F3-8D1F-4439-8942-3E8F47C915BE}"/>
            </a:ext>
          </a:extLst>
        </xdr:cNvPr>
        <xdr:cNvSpPr/>
      </xdr:nvSpPr>
      <xdr:spPr>
        <a:xfrm>
          <a:off x="526536" y="7659934"/>
          <a:ext cx="2248413" cy="233115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22346</xdr:colOff>
      <xdr:row>42</xdr:row>
      <xdr:rowOff>37364</xdr:rowOff>
    </xdr:from>
    <xdr:to>
      <xdr:col>7</xdr:col>
      <xdr:colOff>243840</xdr:colOff>
      <xdr:row>44</xdr:row>
      <xdr:rowOff>19685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703032F0-FA32-48AB-B9E8-7F3AE3A7618F}"/>
            </a:ext>
          </a:extLst>
        </xdr:cNvPr>
        <xdr:cNvSpPr/>
      </xdr:nvSpPr>
      <xdr:spPr>
        <a:xfrm>
          <a:off x="537966" y="7308114"/>
          <a:ext cx="2236984" cy="235686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400"/>
            <a:t>Totales</a:t>
          </a:r>
        </a:p>
        <a:p>
          <a:pPr algn="l"/>
          <a:endParaRPr lang="es-CL" sz="1400"/>
        </a:p>
      </xdr:txBody>
    </xdr:sp>
    <xdr:clientData/>
  </xdr:twoCellAnchor>
  <xdr:twoCellAnchor editAs="absolute">
    <xdr:from>
      <xdr:col>1</xdr:col>
      <xdr:colOff>57785</xdr:colOff>
      <xdr:row>40</xdr:row>
      <xdr:rowOff>92148</xdr:rowOff>
    </xdr:from>
    <xdr:to>
      <xdr:col>5</xdr:col>
      <xdr:colOff>568098</xdr:colOff>
      <xdr:row>41</xdr:row>
      <xdr:rowOff>173280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DC40E508-DBAA-4157-A5C4-0745844B0BCD}"/>
            </a:ext>
          </a:extLst>
        </xdr:cNvPr>
        <xdr:cNvSpPr/>
      </xdr:nvSpPr>
      <xdr:spPr>
        <a:xfrm>
          <a:off x="564515" y="7083498"/>
          <a:ext cx="1840003" cy="185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TOTALES:</a:t>
          </a:r>
        </a:p>
      </xdr:txBody>
    </xdr:sp>
    <xdr:clientData/>
  </xdr:twoCellAnchor>
  <xdr:twoCellAnchor editAs="absolute">
    <xdr:from>
      <xdr:col>1</xdr:col>
      <xdr:colOff>54611</xdr:colOff>
      <xdr:row>45</xdr:row>
      <xdr:rowOff>98897</xdr:rowOff>
    </xdr:from>
    <xdr:to>
      <xdr:col>5</xdr:col>
      <xdr:colOff>572544</xdr:colOff>
      <xdr:row>46</xdr:row>
      <xdr:rowOff>96851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2B2C6A1A-5BAE-44DD-9293-8CE1965BC1B5}"/>
            </a:ext>
          </a:extLst>
        </xdr:cNvPr>
        <xdr:cNvSpPr/>
      </xdr:nvSpPr>
      <xdr:spPr>
        <a:xfrm>
          <a:off x="568961" y="7737947"/>
          <a:ext cx="1840003" cy="1751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 A PAGAR:</a:t>
          </a:r>
        </a:p>
      </xdr:txBody>
    </xdr:sp>
    <xdr:clientData/>
  </xdr:twoCellAnchor>
  <xdr:twoCellAnchor editAs="absolute">
    <xdr:from>
      <xdr:col>9</xdr:col>
      <xdr:colOff>2117</xdr:colOff>
      <xdr:row>45</xdr:row>
      <xdr:rowOff>16647</xdr:rowOff>
    </xdr:from>
    <xdr:to>
      <xdr:col>19</xdr:col>
      <xdr:colOff>40640</xdr:colOff>
      <xdr:row>46</xdr:row>
      <xdr:rowOff>22857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6617A3F5-7265-48E1-BC06-D3C3CFB3168B}"/>
            </a:ext>
          </a:extLst>
        </xdr:cNvPr>
        <xdr:cNvSpPr/>
      </xdr:nvSpPr>
      <xdr:spPr>
        <a:xfrm>
          <a:off x="3103457" y="7625217"/>
          <a:ext cx="3388783" cy="20941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-=</a:t>
          </a:r>
        </a:p>
      </xdr:txBody>
    </xdr:sp>
    <xdr:clientData/>
  </xdr:twoCellAnchor>
  <xdr:twoCellAnchor editAs="absolute">
    <xdr:from>
      <xdr:col>1</xdr:col>
      <xdr:colOff>1838</xdr:colOff>
      <xdr:row>7</xdr:row>
      <xdr:rowOff>20828</xdr:rowOff>
    </xdr:from>
    <xdr:to>
      <xdr:col>2</xdr:col>
      <xdr:colOff>34290</xdr:colOff>
      <xdr:row>7</xdr:row>
      <xdr:rowOff>174651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1F8B6192-A284-458F-9F5E-F9BBC33709FC}"/>
            </a:ext>
          </a:extLst>
        </xdr:cNvPr>
        <xdr:cNvSpPr/>
      </xdr:nvSpPr>
      <xdr:spPr>
        <a:xfrm>
          <a:off x="512378" y="1409573"/>
          <a:ext cx="520132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1837</xdr:colOff>
      <xdr:row>8</xdr:row>
      <xdr:rowOff>56198</xdr:rowOff>
    </xdr:from>
    <xdr:to>
      <xdr:col>3</xdr:col>
      <xdr:colOff>93662</xdr:colOff>
      <xdr:row>8</xdr:row>
      <xdr:rowOff>173831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F8456E65-F47E-4D20-913E-D2F09160D860}"/>
            </a:ext>
          </a:extLst>
        </xdr:cNvPr>
        <xdr:cNvSpPr/>
      </xdr:nvSpPr>
      <xdr:spPr>
        <a:xfrm>
          <a:off x="509837" y="1677988"/>
          <a:ext cx="774450" cy="13287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NOMBRE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1838</xdr:colOff>
      <xdr:row>9</xdr:row>
      <xdr:rowOff>55731</xdr:rowOff>
    </xdr:from>
    <xdr:to>
      <xdr:col>5</xdr:col>
      <xdr:colOff>96066</xdr:colOff>
      <xdr:row>10</xdr:row>
      <xdr:rowOff>3602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EECD4956-82FA-4473-964F-CB87DC97CDE7}"/>
            </a:ext>
          </a:extLst>
        </xdr:cNvPr>
        <xdr:cNvSpPr/>
      </xdr:nvSpPr>
      <xdr:spPr>
        <a:xfrm>
          <a:off x="512378" y="1894056"/>
          <a:ext cx="1416298" cy="15170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FECHA DE INGRESO:</a:t>
          </a:r>
        </a:p>
      </xdr:txBody>
    </xdr:sp>
    <xdr:clientData/>
  </xdr:twoCellAnchor>
  <xdr:twoCellAnchor editAs="absolute">
    <xdr:from>
      <xdr:col>1</xdr:col>
      <xdr:colOff>1838</xdr:colOff>
      <xdr:row>10</xdr:row>
      <xdr:rowOff>54932</xdr:rowOff>
    </xdr:from>
    <xdr:to>
      <xdr:col>3</xdr:col>
      <xdr:colOff>2993</xdr:colOff>
      <xdr:row>11</xdr:row>
      <xdr:rowOff>1110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D38FC6CB-F20D-456A-B6FB-4A02EB03F011}"/>
            </a:ext>
          </a:extLst>
        </xdr:cNvPr>
        <xdr:cNvSpPr/>
      </xdr:nvSpPr>
      <xdr:spPr>
        <a:xfrm>
          <a:off x="512378" y="2093282"/>
          <a:ext cx="671715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CARGO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15240</xdr:colOff>
      <xdr:row>12</xdr:row>
      <xdr:rowOff>17145</xdr:rowOff>
    </xdr:from>
    <xdr:to>
      <xdr:col>5</xdr:col>
      <xdr:colOff>578816</xdr:colOff>
      <xdr:row>13</xdr:row>
      <xdr:rowOff>320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1B62873E-FBB4-45AE-906C-42E916B4DCB1}"/>
            </a:ext>
          </a:extLst>
        </xdr:cNvPr>
        <xdr:cNvSpPr/>
      </xdr:nvSpPr>
      <xdr:spPr>
        <a:xfrm>
          <a:off x="514350" y="2604135"/>
          <a:ext cx="1898981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TRABAJADOS:</a:t>
          </a:r>
        </a:p>
      </xdr:txBody>
    </xdr:sp>
    <xdr:clientData/>
  </xdr:twoCellAnchor>
  <xdr:twoCellAnchor editAs="absolute">
    <xdr:from>
      <xdr:col>7</xdr:col>
      <xdr:colOff>17962</xdr:colOff>
      <xdr:row>12</xdr:row>
      <xdr:rowOff>17145</xdr:rowOff>
    </xdr:from>
    <xdr:to>
      <xdr:col>13</xdr:col>
      <xdr:colOff>15979</xdr:colOff>
      <xdr:row>13</xdr:row>
      <xdr:rowOff>320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ABB99C87-C727-42EE-8837-B45E0B5587C0}"/>
            </a:ext>
          </a:extLst>
        </xdr:cNvPr>
        <xdr:cNvSpPr/>
      </xdr:nvSpPr>
      <xdr:spPr>
        <a:xfrm>
          <a:off x="2543992" y="2604135"/>
          <a:ext cx="1925877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LICENCIA:</a:t>
          </a:r>
        </a:p>
      </xdr:txBody>
    </xdr:sp>
    <xdr:clientData/>
  </xdr:twoCellAnchor>
  <xdr:twoCellAnchor editAs="absolute">
    <xdr:from>
      <xdr:col>14</xdr:col>
      <xdr:colOff>35742</xdr:colOff>
      <xdr:row>12</xdr:row>
      <xdr:rowOff>17145</xdr:rowOff>
    </xdr:from>
    <xdr:to>
      <xdr:col>18</xdr:col>
      <xdr:colOff>416982</xdr:colOff>
      <xdr:row>13</xdr:row>
      <xdr:rowOff>320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B9BF82A1-A526-45D7-9AF8-79A6D2C9B04C}"/>
            </a:ext>
          </a:extLst>
        </xdr:cNvPr>
        <xdr:cNvSpPr/>
      </xdr:nvSpPr>
      <xdr:spPr>
        <a:xfrm>
          <a:off x="4592502" y="2604135"/>
          <a:ext cx="1844280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AUSENCIA:</a:t>
          </a:r>
        </a:p>
      </xdr:txBody>
    </xdr:sp>
    <xdr:clientData/>
  </xdr:twoCellAnchor>
  <xdr:twoCellAnchor editAs="absolute">
    <xdr:from>
      <xdr:col>1</xdr:col>
      <xdr:colOff>15240</xdr:colOff>
      <xdr:row>14</xdr:row>
      <xdr:rowOff>19050</xdr:rowOff>
    </xdr:from>
    <xdr:to>
      <xdr:col>5</xdr:col>
      <xdr:colOff>578816</xdr:colOff>
      <xdr:row>15</xdr:row>
      <xdr:rowOff>265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1B6AD472-0F0A-4544-ACCE-7930EEF9CE1B}"/>
            </a:ext>
          </a:extLst>
        </xdr:cNvPr>
        <xdr:cNvSpPr/>
      </xdr:nvSpPr>
      <xdr:spPr>
        <a:xfrm>
          <a:off x="514350" y="2897505"/>
          <a:ext cx="1898981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7</xdr:col>
      <xdr:colOff>17962</xdr:colOff>
      <xdr:row>14</xdr:row>
      <xdr:rowOff>19050</xdr:rowOff>
    </xdr:from>
    <xdr:to>
      <xdr:col>13</xdr:col>
      <xdr:colOff>15979</xdr:colOff>
      <xdr:row>15</xdr:row>
      <xdr:rowOff>265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F19F32B2-3D32-4BBB-AF54-DA57AB7C093F}"/>
            </a:ext>
          </a:extLst>
        </xdr:cNvPr>
        <xdr:cNvSpPr/>
      </xdr:nvSpPr>
      <xdr:spPr>
        <a:xfrm>
          <a:off x="2543992" y="2897505"/>
          <a:ext cx="192587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14</xdr:col>
      <xdr:colOff>19125</xdr:colOff>
      <xdr:row>14</xdr:row>
      <xdr:rowOff>19050</xdr:rowOff>
    </xdr:from>
    <xdr:to>
      <xdr:col>18</xdr:col>
      <xdr:colOff>418887</xdr:colOff>
      <xdr:row>15</xdr:row>
      <xdr:rowOff>265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000C81E2-086C-4CF3-BE73-41FF55FF8303}"/>
            </a:ext>
          </a:extLst>
        </xdr:cNvPr>
        <xdr:cNvSpPr/>
      </xdr:nvSpPr>
      <xdr:spPr>
        <a:xfrm>
          <a:off x="4566360" y="2897505"/>
          <a:ext cx="187232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</xdr:col>
      <xdr:colOff>15240</xdr:colOff>
      <xdr:row>16</xdr:row>
      <xdr:rowOff>169545</xdr:rowOff>
    </xdr:from>
    <xdr:to>
      <xdr:col>7</xdr:col>
      <xdr:colOff>454207</xdr:colOff>
      <xdr:row>18</xdr:row>
      <xdr:rowOff>20850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DB18D218-9950-428D-98BF-F50581DB4487}"/>
            </a:ext>
          </a:extLst>
        </xdr:cNvPr>
        <xdr:cNvSpPr/>
      </xdr:nvSpPr>
      <xdr:spPr>
        <a:xfrm>
          <a:off x="514350" y="3547110"/>
          <a:ext cx="2469697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DETALLE:</a:t>
          </a:r>
        </a:p>
      </xdr:txBody>
    </xdr:sp>
    <xdr:clientData/>
  </xdr:twoCellAnchor>
  <xdr:twoCellAnchor editAs="absolute">
    <xdr:from>
      <xdr:col>8</xdr:col>
      <xdr:colOff>78921</xdr:colOff>
      <xdr:row>16</xdr:row>
      <xdr:rowOff>169545</xdr:rowOff>
    </xdr:from>
    <xdr:to>
      <xdr:col>13</xdr:col>
      <xdr:colOff>1607</xdr:colOff>
      <xdr:row>18</xdr:row>
      <xdr:rowOff>20850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63F59CD2-A849-4429-B63C-B1F8359589B8}"/>
            </a:ext>
          </a:extLst>
        </xdr:cNvPr>
        <xdr:cNvSpPr/>
      </xdr:nvSpPr>
      <xdr:spPr>
        <a:xfrm>
          <a:off x="3088821" y="3547110"/>
          <a:ext cx="1378106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HABERES:</a:t>
          </a:r>
        </a:p>
      </xdr:txBody>
    </xdr:sp>
    <xdr:clientData/>
  </xdr:twoCellAnchor>
  <xdr:twoCellAnchor editAs="absolute">
    <xdr:from>
      <xdr:col>14</xdr:col>
      <xdr:colOff>1980</xdr:colOff>
      <xdr:row>16</xdr:row>
      <xdr:rowOff>169545</xdr:rowOff>
    </xdr:from>
    <xdr:to>
      <xdr:col>19</xdr:col>
      <xdr:colOff>921</xdr:colOff>
      <xdr:row>18</xdr:row>
      <xdr:rowOff>20850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79E600D7-5482-4E6A-80EE-22D0FCA856F4}"/>
            </a:ext>
          </a:extLst>
        </xdr:cNvPr>
        <xdr:cNvSpPr/>
      </xdr:nvSpPr>
      <xdr:spPr>
        <a:xfrm>
          <a:off x="4558740" y="3547110"/>
          <a:ext cx="1896321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DESCUENTO:</a:t>
          </a:r>
        </a:p>
      </xdr:txBody>
    </xdr:sp>
    <xdr:clientData/>
  </xdr:twoCellAnchor>
  <xdr:twoCellAnchor editAs="absolute">
    <xdr:from>
      <xdr:col>10</xdr:col>
      <xdr:colOff>110634</xdr:colOff>
      <xdr:row>7</xdr:row>
      <xdr:rowOff>20828</xdr:rowOff>
    </xdr:from>
    <xdr:to>
      <xdr:col>15</xdr:col>
      <xdr:colOff>3514</xdr:colOff>
      <xdr:row>7</xdr:row>
      <xdr:rowOff>174651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ED34B64D-D339-4C95-A7D0-0BC040B9E754}"/>
            </a:ext>
          </a:extLst>
        </xdr:cNvPr>
        <xdr:cNvSpPr/>
      </xdr:nvSpPr>
      <xdr:spPr>
        <a:xfrm>
          <a:off x="3501534" y="1409573"/>
          <a:ext cx="1150180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RAZÓN SOCIAL: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8</xdr:row>
      <xdr:rowOff>56838</xdr:rowOff>
    </xdr:from>
    <xdr:to>
      <xdr:col>11</xdr:col>
      <xdr:colOff>472939</xdr:colOff>
      <xdr:row>9</xdr:row>
      <xdr:rowOff>1111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EF74BAA4-EE3C-453C-88D9-0F5D37FE551A}"/>
            </a:ext>
          </a:extLst>
        </xdr:cNvPr>
        <xdr:cNvSpPr/>
      </xdr:nvSpPr>
      <xdr:spPr>
        <a:xfrm>
          <a:off x="3501535" y="1693233"/>
          <a:ext cx="480414" cy="13667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9</xdr:row>
      <xdr:rowOff>60416</xdr:rowOff>
    </xdr:from>
    <xdr:to>
      <xdr:col>12</xdr:col>
      <xdr:colOff>282439</xdr:colOff>
      <xdr:row>10</xdr:row>
      <xdr:rowOff>3602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00630891-BD4B-467D-9787-2C1F06DC3ADD}"/>
            </a:ext>
          </a:extLst>
        </xdr:cNvPr>
        <xdr:cNvSpPr/>
      </xdr:nvSpPr>
      <xdr:spPr>
        <a:xfrm>
          <a:off x="3501535" y="1896836"/>
          <a:ext cx="914754" cy="14892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DIRECCIÓN:</a:t>
          </a:r>
        </a:p>
      </xdr:txBody>
    </xdr:sp>
    <xdr:clientData/>
  </xdr:twoCellAnchor>
  <xdr:twoCellAnchor editAs="absolute">
    <xdr:from>
      <xdr:col>10</xdr:col>
      <xdr:colOff>110635</xdr:colOff>
      <xdr:row>10</xdr:row>
      <xdr:rowOff>54932</xdr:rowOff>
    </xdr:from>
    <xdr:to>
      <xdr:col>11</xdr:col>
      <xdr:colOff>608194</xdr:colOff>
      <xdr:row>11</xdr:row>
      <xdr:rowOff>1110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D39A1D4A-7403-409B-BE09-873A90DA7E19}"/>
            </a:ext>
          </a:extLst>
        </xdr:cNvPr>
        <xdr:cNvSpPr/>
      </xdr:nvSpPr>
      <xdr:spPr>
        <a:xfrm>
          <a:off x="3501535" y="2093282"/>
          <a:ext cx="611859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EMAIL: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359797</xdr:colOff>
      <xdr:row>2</xdr:row>
      <xdr:rowOff>8245</xdr:rowOff>
    </xdr:from>
    <xdr:to>
      <xdr:col>15</xdr:col>
      <xdr:colOff>302812</xdr:colOff>
      <xdr:row>2</xdr:row>
      <xdr:rowOff>181427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3B391025-DEB1-4C76-9C29-FDDBDECE9777}"/>
            </a:ext>
          </a:extLst>
        </xdr:cNvPr>
        <xdr:cNvSpPr/>
      </xdr:nvSpPr>
      <xdr:spPr>
        <a:xfrm>
          <a:off x="1838077" y="374005"/>
          <a:ext cx="3120555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accent1">
                  <a:lumMod val="75000"/>
                </a:schemeClr>
              </a:solidFill>
            </a:rPr>
            <a:t>LIQUIDACIÓN DE SUELDO</a:t>
          </a:r>
          <a:r>
            <a:rPr lang="es-CL" sz="1400" b="1" baseline="0">
              <a:solidFill>
                <a:schemeClr val="accent1">
                  <a:lumMod val="75000"/>
                </a:schemeClr>
              </a:solidFill>
            </a:rPr>
            <a:t> MENSUAL</a:t>
          </a:r>
          <a:endParaRPr lang="es-CL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64976</xdr:colOff>
      <xdr:row>51</xdr:row>
      <xdr:rowOff>8250</xdr:rowOff>
    </xdr:from>
    <xdr:to>
      <xdr:col>18</xdr:col>
      <xdr:colOff>242662</xdr:colOff>
      <xdr:row>51</xdr:row>
      <xdr:rowOff>181432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2E5ED3D3-5252-44A0-B3A0-BD3D6FB2CBA9}"/>
            </a:ext>
          </a:extLst>
        </xdr:cNvPr>
        <xdr:cNvSpPr/>
      </xdr:nvSpPr>
      <xdr:spPr>
        <a:xfrm>
          <a:off x="4720796" y="8710290"/>
          <a:ext cx="1541666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50" b="1">
              <a:solidFill>
                <a:schemeClr val="accent1">
                  <a:lumMod val="75000"/>
                </a:schemeClr>
              </a:solidFill>
              <a:latin typeface="Raleway" panose="020B0503030101060003" pitchFamily="34" charset="0"/>
            </a:rPr>
            <a:t>FIRMA TRABAJADOR</a:t>
          </a:r>
        </a:p>
      </xdr:txBody>
    </xdr:sp>
    <xdr:clientData/>
  </xdr:twoCellAnchor>
  <xdr:twoCellAnchor>
    <xdr:from>
      <xdr:col>13</xdr:col>
      <xdr:colOff>54429</xdr:colOff>
      <xdr:row>50</xdr:row>
      <xdr:rowOff>63500</xdr:rowOff>
    </xdr:from>
    <xdr:to>
      <xdr:col>18</xdr:col>
      <xdr:colOff>411159</xdr:colOff>
      <xdr:row>50</xdr:row>
      <xdr:rowOff>63500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E89944F9-1E5B-448D-B5D7-0C93361AE757}"/>
            </a:ext>
          </a:extLst>
        </xdr:cNvPr>
        <xdr:cNvCxnSpPr/>
      </xdr:nvCxnSpPr>
      <xdr:spPr>
        <a:xfrm>
          <a:off x="4519749" y="8582660"/>
          <a:ext cx="1911210" cy="0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20107</xdr:colOff>
      <xdr:row>25</xdr:row>
      <xdr:rowOff>19687</xdr:rowOff>
    </xdr:from>
    <xdr:to>
      <xdr:col>7</xdr:col>
      <xdr:colOff>399415</xdr:colOff>
      <xdr:row>26</xdr:row>
      <xdr:rowOff>17357</xdr:rowOff>
    </xdr:to>
    <xdr:sp macro="" textlink="">
      <xdr:nvSpPr>
        <xdr:cNvPr id="53" name="Shape 19">
          <a:extLst>
            <a:ext uri="{FF2B5EF4-FFF2-40B4-BE49-F238E27FC236}">
              <a16:creationId xmlns:a16="http://schemas.microsoft.com/office/drawing/2014/main" id="{A9D453BD-206A-4F59-8909-73C2C981B85B}"/>
            </a:ext>
          </a:extLst>
        </xdr:cNvPr>
        <xdr:cNvSpPr/>
      </xdr:nvSpPr>
      <xdr:spPr>
        <a:xfrm>
          <a:off x="521122" y="4785997"/>
          <a:ext cx="2421468" cy="2034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317</xdr:colOff>
      <xdr:row>25</xdr:row>
      <xdr:rowOff>16722</xdr:rowOff>
    </xdr:from>
    <xdr:to>
      <xdr:col>13</xdr:col>
      <xdr:colOff>2540</xdr:colOff>
      <xdr:row>25</xdr:row>
      <xdr:rowOff>189549</xdr:rowOff>
    </xdr:to>
    <xdr:sp macro="" textlink="">
      <xdr:nvSpPr>
        <xdr:cNvPr id="54" name="Shape 19">
          <a:extLst>
            <a:ext uri="{FF2B5EF4-FFF2-40B4-BE49-F238E27FC236}">
              <a16:creationId xmlns:a16="http://schemas.microsoft.com/office/drawing/2014/main" id="{08B7CC5A-2553-40B7-AD5C-22FB74ED78F1}"/>
            </a:ext>
          </a:extLst>
        </xdr:cNvPr>
        <xdr:cNvSpPr/>
      </xdr:nvSpPr>
      <xdr:spPr>
        <a:xfrm>
          <a:off x="3105467" y="4775412"/>
          <a:ext cx="1362393" cy="18425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73550</xdr:colOff>
      <xdr:row>25</xdr:row>
      <xdr:rowOff>17357</xdr:rowOff>
    </xdr:from>
    <xdr:to>
      <xdr:col>19</xdr:col>
      <xdr:colOff>20528</xdr:colOff>
      <xdr:row>26</xdr:row>
      <xdr:rowOff>18219</xdr:rowOff>
    </xdr:to>
    <xdr:sp macro="" textlink="">
      <xdr:nvSpPr>
        <xdr:cNvPr id="55" name="Shape 19">
          <a:extLst>
            <a:ext uri="{FF2B5EF4-FFF2-40B4-BE49-F238E27FC236}">
              <a16:creationId xmlns:a16="http://schemas.microsoft.com/office/drawing/2014/main" id="{29D15292-8077-4BE0-A8E4-19D5C9370124}"/>
            </a:ext>
          </a:extLst>
        </xdr:cNvPr>
        <xdr:cNvSpPr/>
      </xdr:nvSpPr>
      <xdr:spPr>
        <a:xfrm>
          <a:off x="4630310" y="4791287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55563</xdr:colOff>
      <xdr:row>1</xdr:row>
      <xdr:rowOff>79377</xdr:rowOff>
    </xdr:from>
    <xdr:to>
      <xdr:col>5</xdr:col>
      <xdr:colOff>148593</xdr:colOff>
      <xdr:row>3</xdr:row>
      <xdr:rowOff>136210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A16DB1D0-8E3D-4617-A638-00BFC25F1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03" y="262257"/>
          <a:ext cx="1418910" cy="494983"/>
        </a:xfrm>
        <a:prstGeom prst="rect">
          <a:avLst/>
        </a:prstGeom>
      </xdr:spPr>
    </xdr:pic>
    <xdr:clientData/>
  </xdr:twoCellAnchor>
  <xdr:twoCellAnchor editAs="absolute">
    <xdr:from>
      <xdr:col>1</xdr:col>
      <xdr:colOff>17356</xdr:colOff>
      <xdr:row>26</xdr:row>
      <xdr:rowOff>59690</xdr:rowOff>
    </xdr:from>
    <xdr:to>
      <xdr:col>7</xdr:col>
      <xdr:colOff>434764</xdr:colOff>
      <xdr:row>27</xdr:row>
      <xdr:rowOff>173776</xdr:rowOff>
    </xdr:to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8EAAD545-2379-46B0-8E9B-03F7BEF3A23B}"/>
            </a:ext>
          </a:extLst>
        </xdr:cNvPr>
        <xdr:cNvSpPr/>
      </xdr:nvSpPr>
      <xdr:spPr>
        <a:xfrm>
          <a:off x="531706" y="503174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59691</xdr:colOff>
      <xdr:row>27</xdr:row>
      <xdr:rowOff>0</xdr:rowOff>
    </xdr:from>
    <xdr:to>
      <xdr:col>13</xdr:col>
      <xdr:colOff>531</xdr:colOff>
      <xdr:row>28</xdr:row>
      <xdr:rowOff>20108</xdr:rowOff>
    </xdr:to>
    <xdr:sp macro="" textlink="">
      <xdr:nvSpPr>
        <xdr:cNvPr id="58" name="Shape 19">
          <a:extLst>
            <a:ext uri="{FF2B5EF4-FFF2-40B4-BE49-F238E27FC236}">
              <a16:creationId xmlns:a16="http://schemas.microsoft.com/office/drawing/2014/main" id="{39D386B8-B976-4DDF-8E87-69FA1ACC99B9}"/>
            </a:ext>
          </a:extLst>
        </xdr:cNvPr>
        <xdr:cNvSpPr/>
      </xdr:nvSpPr>
      <xdr:spPr>
        <a:xfrm>
          <a:off x="3073401" y="504444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74084</xdr:colOff>
      <xdr:row>27</xdr:row>
      <xdr:rowOff>0</xdr:rowOff>
    </xdr:from>
    <xdr:to>
      <xdr:col>19</xdr:col>
      <xdr:colOff>21062</xdr:colOff>
      <xdr:row>28</xdr:row>
      <xdr:rowOff>862</xdr:rowOff>
    </xdr:to>
    <xdr:sp macro="" textlink="">
      <xdr:nvSpPr>
        <xdr:cNvPr id="59" name="Shape 19">
          <a:extLst>
            <a:ext uri="{FF2B5EF4-FFF2-40B4-BE49-F238E27FC236}">
              <a16:creationId xmlns:a16="http://schemas.microsoft.com/office/drawing/2014/main" id="{2A410C7D-B5B4-42B1-936F-78F4FAD1574E}"/>
            </a:ext>
          </a:extLst>
        </xdr:cNvPr>
        <xdr:cNvSpPr/>
      </xdr:nvSpPr>
      <xdr:spPr>
        <a:xfrm>
          <a:off x="4630844" y="504444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29</xdr:row>
      <xdr:rowOff>0</xdr:rowOff>
    </xdr:from>
    <xdr:to>
      <xdr:col>7</xdr:col>
      <xdr:colOff>398358</xdr:colOff>
      <xdr:row>30</xdr:row>
      <xdr:rowOff>1056</xdr:rowOff>
    </xdr:to>
    <xdr:sp macro="" textlink="">
      <xdr:nvSpPr>
        <xdr:cNvPr id="60" name="Shape 19">
          <a:extLst>
            <a:ext uri="{FF2B5EF4-FFF2-40B4-BE49-F238E27FC236}">
              <a16:creationId xmlns:a16="http://schemas.microsoft.com/office/drawing/2014/main" id="{F58D0961-91D4-4016-A082-4F77616EE306}"/>
            </a:ext>
          </a:extLst>
        </xdr:cNvPr>
        <xdr:cNvSpPr/>
      </xdr:nvSpPr>
      <xdr:spPr>
        <a:xfrm>
          <a:off x="510540" y="529590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29</xdr:row>
      <xdr:rowOff>0</xdr:rowOff>
    </xdr:from>
    <xdr:to>
      <xdr:col>13</xdr:col>
      <xdr:colOff>36090</xdr:colOff>
      <xdr:row>30</xdr:row>
      <xdr:rowOff>20108</xdr:rowOff>
    </xdr:to>
    <xdr:sp macro="" textlink="">
      <xdr:nvSpPr>
        <xdr:cNvPr id="61" name="Shape 19">
          <a:extLst>
            <a:ext uri="{FF2B5EF4-FFF2-40B4-BE49-F238E27FC236}">
              <a16:creationId xmlns:a16="http://schemas.microsoft.com/office/drawing/2014/main" id="{2956A1A0-9BB9-4AE6-B0F4-DD702E7959E2}"/>
            </a:ext>
          </a:extLst>
        </xdr:cNvPr>
        <xdr:cNvSpPr/>
      </xdr:nvSpPr>
      <xdr:spPr>
        <a:xfrm>
          <a:off x="3108960" y="52959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20108</xdr:colOff>
      <xdr:row>29</xdr:row>
      <xdr:rowOff>0</xdr:rowOff>
    </xdr:from>
    <xdr:to>
      <xdr:col>19</xdr:col>
      <xdr:colOff>56621</xdr:colOff>
      <xdr:row>30</xdr:row>
      <xdr:rowOff>862</xdr:rowOff>
    </xdr:to>
    <xdr:sp macro="" textlink="">
      <xdr:nvSpPr>
        <xdr:cNvPr id="62" name="Shape 19">
          <a:extLst>
            <a:ext uri="{FF2B5EF4-FFF2-40B4-BE49-F238E27FC236}">
              <a16:creationId xmlns:a16="http://schemas.microsoft.com/office/drawing/2014/main" id="{7D5851BB-4957-4897-8817-343F8656331F}"/>
            </a:ext>
          </a:extLst>
        </xdr:cNvPr>
        <xdr:cNvSpPr/>
      </xdr:nvSpPr>
      <xdr:spPr>
        <a:xfrm>
          <a:off x="4666403" y="529590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500063</xdr:colOff>
      <xdr:row>53</xdr:row>
      <xdr:rowOff>174625</xdr:rowOff>
    </xdr:from>
    <xdr:to>
      <xdr:col>19</xdr:col>
      <xdr:colOff>113770</xdr:colOff>
      <xdr:row>60</xdr:row>
      <xdr:rowOff>135776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6037CF-122F-4F56-8298-2E37D984B8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6"/>
        <a:stretch/>
      </xdr:blipFill>
      <xdr:spPr>
        <a:xfrm>
          <a:off x="500063" y="8876665"/>
          <a:ext cx="6067847" cy="124893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97020</xdr:colOff>
      <xdr:row>12</xdr:row>
      <xdr:rowOff>36880</xdr:rowOff>
    </xdr:from>
    <xdr:to>
      <xdr:col>12</xdr:col>
      <xdr:colOff>212907</xdr:colOff>
      <xdr:row>13</xdr:row>
      <xdr:rowOff>1357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28003B3-1173-490E-BA97-DDC0B03782B3}"/>
            </a:ext>
          </a:extLst>
        </xdr:cNvPr>
        <xdr:cNvSpPr/>
      </xdr:nvSpPr>
      <xdr:spPr>
        <a:xfrm>
          <a:off x="2613525" y="2627680"/>
          <a:ext cx="1740852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LICENCIA</a:t>
          </a:r>
        </a:p>
      </xdr:txBody>
    </xdr:sp>
    <xdr:clientData/>
  </xdr:twoCellAnchor>
  <xdr:twoCellAnchor editAs="absolute">
    <xdr:from>
      <xdr:col>15</xdr:col>
      <xdr:colOff>500</xdr:colOff>
      <xdr:row>12</xdr:row>
      <xdr:rowOff>36880</xdr:rowOff>
    </xdr:from>
    <xdr:to>
      <xdr:col>18</xdr:col>
      <xdr:colOff>345305</xdr:colOff>
      <xdr:row>13</xdr:row>
      <xdr:rowOff>1357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4E1C87D6-6AAB-44CE-8A03-B34A80358786}"/>
            </a:ext>
          </a:extLst>
        </xdr:cNvPr>
        <xdr:cNvSpPr/>
      </xdr:nvSpPr>
      <xdr:spPr>
        <a:xfrm>
          <a:off x="4644890" y="2627680"/>
          <a:ext cx="1720215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AUSENCIA</a:t>
          </a:r>
        </a:p>
      </xdr:txBody>
    </xdr:sp>
    <xdr:clientData/>
  </xdr:twoCellAnchor>
  <xdr:twoCellAnchor editAs="absolute">
    <xdr:from>
      <xdr:col>1</xdr:col>
      <xdr:colOff>360998</xdr:colOff>
      <xdr:row>17</xdr:row>
      <xdr:rowOff>2007</xdr:rowOff>
    </xdr:from>
    <xdr:to>
      <xdr:col>7</xdr:col>
      <xdr:colOff>74160</xdr:colOff>
      <xdr:row>18</xdr:row>
      <xdr:rowOff>542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E7B2254-D699-41EC-A1BE-6C847457A45D}"/>
            </a:ext>
          </a:extLst>
        </xdr:cNvPr>
        <xdr:cNvSpPr/>
      </xdr:nvSpPr>
      <xdr:spPr>
        <a:xfrm>
          <a:off x="867728" y="3552927"/>
          <a:ext cx="1736272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DETALLES:</a:t>
          </a:r>
        </a:p>
      </xdr:txBody>
    </xdr:sp>
    <xdr:clientData/>
  </xdr:twoCellAnchor>
  <xdr:twoCellAnchor editAs="absolute">
    <xdr:from>
      <xdr:col>7</xdr:col>
      <xdr:colOff>365625</xdr:colOff>
      <xdr:row>17</xdr:row>
      <xdr:rowOff>407</xdr:rowOff>
    </xdr:from>
    <xdr:to>
      <xdr:col>15</xdr:col>
      <xdr:colOff>2405</xdr:colOff>
      <xdr:row>17</xdr:row>
      <xdr:rowOff>191042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91C4302D-D0A4-4611-BFDF-F0A229BB76EA}"/>
            </a:ext>
          </a:extLst>
        </xdr:cNvPr>
        <xdr:cNvSpPr/>
      </xdr:nvSpPr>
      <xdr:spPr>
        <a:xfrm>
          <a:off x="2899275" y="3549422"/>
          <a:ext cx="1758950" cy="192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HABERES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15</xdr:col>
      <xdr:colOff>2405</xdr:colOff>
      <xdr:row>17</xdr:row>
      <xdr:rowOff>2008</xdr:rowOff>
    </xdr:from>
    <xdr:to>
      <xdr:col>18</xdr:col>
      <xdr:colOff>358640</xdr:colOff>
      <xdr:row>18</xdr:row>
      <xdr:rowOff>543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3A8E2C0-603E-414E-94CB-0D438FF612E3}"/>
            </a:ext>
          </a:extLst>
        </xdr:cNvPr>
        <xdr:cNvSpPr/>
      </xdr:nvSpPr>
      <xdr:spPr>
        <a:xfrm>
          <a:off x="4658225" y="3552928"/>
          <a:ext cx="1716405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DESCUENTO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</xdr:col>
      <xdr:colOff>0</xdr:colOff>
      <xdr:row>21</xdr:row>
      <xdr:rowOff>184</xdr:rowOff>
    </xdr:from>
    <xdr:to>
      <xdr:col>7</xdr:col>
      <xdr:colOff>437062</xdr:colOff>
      <xdr:row>22</xdr:row>
      <xdr:rowOff>2271</xdr:rowOff>
    </xdr:to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64513AC8-B2BF-400D-8F22-C5DCC695F5C2}"/>
            </a:ext>
          </a:extLst>
        </xdr:cNvPr>
        <xdr:cNvSpPr/>
      </xdr:nvSpPr>
      <xdr:spPr>
        <a:xfrm>
          <a:off x="510540" y="4267384"/>
          <a:ext cx="2460172" cy="20020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18488</xdr:colOff>
      <xdr:row>21</xdr:row>
      <xdr:rowOff>3542</xdr:rowOff>
    </xdr:from>
    <xdr:to>
      <xdr:col>13</xdr:col>
      <xdr:colOff>18595</xdr:colOff>
      <xdr:row>22</xdr:row>
      <xdr:rowOff>17141</xdr:rowOff>
    </xdr:to>
    <xdr:sp macro="" textlink="">
      <xdr:nvSpPr>
        <xdr:cNvPr id="9" name="Shape 19">
          <a:extLst>
            <a:ext uri="{FF2B5EF4-FFF2-40B4-BE49-F238E27FC236}">
              <a16:creationId xmlns:a16="http://schemas.microsoft.com/office/drawing/2014/main" id="{3920BA26-7155-4F9B-B778-6612D54F878B}"/>
            </a:ext>
          </a:extLst>
        </xdr:cNvPr>
        <xdr:cNvSpPr/>
      </xdr:nvSpPr>
      <xdr:spPr>
        <a:xfrm>
          <a:off x="3131258" y="4270742"/>
          <a:ext cx="1362182" cy="20028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58386</xdr:colOff>
      <xdr:row>21</xdr:row>
      <xdr:rowOff>184</xdr:rowOff>
    </xdr:from>
    <xdr:to>
      <xdr:col>19</xdr:col>
      <xdr:colOff>18382</xdr:colOff>
      <xdr:row>22</xdr:row>
      <xdr:rowOff>2190</xdr:rowOff>
    </xdr:to>
    <xdr:sp macro="" textlink="">
      <xdr:nvSpPr>
        <xdr:cNvPr id="10" name="Shape 19">
          <a:extLst>
            <a:ext uri="{FF2B5EF4-FFF2-40B4-BE49-F238E27FC236}">
              <a16:creationId xmlns:a16="http://schemas.microsoft.com/office/drawing/2014/main" id="{DF493863-790C-4EC6-ACFF-771C1462C0BC}"/>
            </a:ext>
          </a:extLst>
        </xdr:cNvPr>
        <xdr:cNvSpPr/>
      </xdr:nvSpPr>
      <xdr:spPr>
        <a:xfrm>
          <a:off x="4618956" y="4267384"/>
          <a:ext cx="1849756" cy="2001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23</xdr:row>
      <xdr:rowOff>853</xdr:rowOff>
    </xdr:from>
    <xdr:to>
      <xdr:col>7</xdr:col>
      <xdr:colOff>437062</xdr:colOff>
      <xdr:row>24</xdr:row>
      <xdr:rowOff>1796</xdr:rowOff>
    </xdr:to>
    <xdr:sp macro="" textlink="">
      <xdr:nvSpPr>
        <xdr:cNvPr id="11" name="Shape 19">
          <a:extLst>
            <a:ext uri="{FF2B5EF4-FFF2-40B4-BE49-F238E27FC236}">
              <a16:creationId xmlns:a16="http://schemas.microsoft.com/office/drawing/2014/main" id="{815E3FA5-002A-41C6-BDC6-C1156AF73BEE}"/>
            </a:ext>
          </a:extLst>
        </xdr:cNvPr>
        <xdr:cNvSpPr/>
      </xdr:nvSpPr>
      <xdr:spPr>
        <a:xfrm>
          <a:off x="510540" y="4519513"/>
          <a:ext cx="2460172" cy="1990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79979</xdr:colOff>
      <xdr:row>23</xdr:row>
      <xdr:rowOff>3541</xdr:rowOff>
    </xdr:from>
    <xdr:to>
      <xdr:col>13</xdr:col>
      <xdr:colOff>18702</xdr:colOff>
      <xdr:row>24</xdr:row>
      <xdr:rowOff>16666</xdr:rowOff>
    </xdr:to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1CAC6A53-1F94-4DBB-9265-56002CE4CFA2}"/>
            </a:ext>
          </a:extLst>
        </xdr:cNvPr>
        <xdr:cNvSpPr/>
      </xdr:nvSpPr>
      <xdr:spPr>
        <a:xfrm>
          <a:off x="3089879" y="4522201"/>
          <a:ext cx="1390333" cy="19981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74367</xdr:colOff>
      <xdr:row>23</xdr:row>
      <xdr:rowOff>853</xdr:rowOff>
    </xdr:from>
    <xdr:to>
      <xdr:col>19</xdr:col>
      <xdr:colOff>21345</xdr:colOff>
      <xdr:row>24</xdr:row>
      <xdr:rowOff>1715</xdr:rowOff>
    </xdr:to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A4CCF3CD-94EE-43B7-A4D0-CF737C30F8CD}"/>
            </a:ext>
          </a:extLst>
        </xdr:cNvPr>
        <xdr:cNvSpPr/>
      </xdr:nvSpPr>
      <xdr:spPr>
        <a:xfrm>
          <a:off x="4631127" y="4519513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16195</xdr:colOff>
      <xdr:row>35</xdr:row>
      <xdr:rowOff>18913</xdr:rowOff>
    </xdr:from>
    <xdr:to>
      <xdr:col>8</xdr:col>
      <xdr:colOff>1137</xdr:colOff>
      <xdr:row>36</xdr:row>
      <xdr:rowOff>17058</xdr:rowOff>
    </xdr:to>
    <xdr:sp macro="" textlink="">
      <xdr:nvSpPr>
        <xdr:cNvPr id="14" name="Shape 19">
          <a:extLst>
            <a:ext uri="{FF2B5EF4-FFF2-40B4-BE49-F238E27FC236}">
              <a16:creationId xmlns:a16="http://schemas.microsoft.com/office/drawing/2014/main" id="{354829A0-F52E-4A6B-9F44-CE086EFE19D8}"/>
            </a:ext>
          </a:extLst>
        </xdr:cNvPr>
        <xdr:cNvSpPr/>
      </xdr:nvSpPr>
      <xdr:spPr>
        <a:xfrm>
          <a:off x="520385" y="6302873"/>
          <a:ext cx="2482397" cy="19499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19549</xdr:colOff>
      <xdr:row>35</xdr:row>
      <xdr:rowOff>3117</xdr:rowOff>
    </xdr:from>
    <xdr:to>
      <xdr:col>13</xdr:col>
      <xdr:colOff>37012</xdr:colOff>
      <xdr:row>35</xdr:row>
      <xdr:rowOff>191602</xdr:rowOff>
    </xdr:to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87A8BFA8-D872-475A-BBAC-507DFB8B6ED0}"/>
            </a:ext>
          </a:extLst>
        </xdr:cNvPr>
        <xdr:cNvSpPr/>
      </xdr:nvSpPr>
      <xdr:spPr>
        <a:xfrm>
          <a:off x="3121524" y="6283267"/>
          <a:ext cx="1379538" cy="18848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39791</xdr:colOff>
      <xdr:row>35</xdr:row>
      <xdr:rowOff>55032</xdr:rowOff>
    </xdr:from>
    <xdr:to>
      <xdr:col>19</xdr:col>
      <xdr:colOff>56269</xdr:colOff>
      <xdr:row>36</xdr:row>
      <xdr:rowOff>38144</xdr:rowOff>
    </xdr:to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DB60EE7B-85E3-4D28-827D-EFFC1704E6B3}"/>
            </a:ext>
          </a:extLst>
        </xdr:cNvPr>
        <xdr:cNvSpPr/>
      </xdr:nvSpPr>
      <xdr:spPr>
        <a:xfrm>
          <a:off x="4694341" y="6327562"/>
          <a:ext cx="1823053" cy="1875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16193</xdr:colOff>
      <xdr:row>36</xdr:row>
      <xdr:rowOff>58298</xdr:rowOff>
    </xdr:from>
    <xdr:to>
      <xdr:col>8</xdr:col>
      <xdr:colOff>1135</xdr:colOff>
      <xdr:row>37</xdr:row>
      <xdr:rowOff>173726</xdr:rowOff>
    </xdr:to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F30A6992-AB18-45EF-AC05-FCB64BE9D526}"/>
            </a:ext>
          </a:extLst>
        </xdr:cNvPr>
        <xdr:cNvSpPr/>
      </xdr:nvSpPr>
      <xdr:spPr>
        <a:xfrm>
          <a:off x="520383" y="6531488"/>
          <a:ext cx="2482397" cy="199248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76</xdr:colOff>
      <xdr:row>36</xdr:row>
      <xdr:rowOff>75933</xdr:rowOff>
    </xdr:from>
    <xdr:to>
      <xdr:col>13</xdr:col>
      <xdr:colOff>3781</xdr:colOff>
      <xdr:row>37</xdr:row>
      <xdr:rowOff>190585</xdr:rowOff>
    </xdr:to>
    <xdr:sp macro="" textlink="">
      <xdr:nvSpPr>
        <xdr:cNvPr id="18" name="Shape 19">
          <a:extLst>
            <a:ext uri="{FF2B5EF4-FFF2-40B4-BE49-F238E27FC236}">
              <a16:creationId xmlns:a16="http://schemas.microsoft.com/office/drawing/2014/main" id="{0449D19E-6D6B-4BD2-8815-B732F02807D7}"/>
            </a:ext>
          </a:extLst>
        </xdr:cNvPr>
        <xdr:cNvSpPr/>
      </xdr:nvSpPr>
      <xdr:spPr>
        <a:xfrm>
          <a:off x="3111576" y="6552933"/>
          <a:ext cx="1356255" cy="190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2540</xdr:colOff>
      <xdr:row>37</xdr:row>
      <xdr:rowOff>15662</xdr:rowOff>
    </xdr:from>
    <xdr:to>
      <xdr:col>19</xdr:col>
      <xdr:colOff>56273</xdr:colOff>
      <xdr:row>38</xdr:row>
      <xdr:rowOff>1035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CCFCE92B-6D69-4C5C-8B85-D20092E70DC5}"/>
            </a:ext>
          </a:extLst>
        </xdr:cNvPr>
        <xdr:cNvSpPr/>
      </xdr:nvSpPr>
      <xdr:spPr>
        <a:xfrm>
          <a:off x="4657090" y="6572672"/>
          <a:ext cx="1860308" cy="17587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21273</xdr:colOff>
      <xdr:row>38</xdr:row>
      <xdr:rowOff>55219</xdr:rowOff>
    </xdr:from>
    <xdr:to>
      <xdr:col>8</xdr:col>
      <xdr:colOff>15740</xdr:colOff>
      <xdr:row>39</xdr:row>
      <xdr:rowOff>175032</xdr:rowOff>
    </xdr:to>
    <xdr:sp macro="" textlink="">
      <xdr:nvSpPr>
        <xdr:cNvPr id="20" name="Shape 19">
          <a:extLst>
            <a:ext uri="{FF2B5EF4-FFF2-40B4-BE49-F238E27FC236}">
              <a16:creationId xmlns:a16="http://schemas.microsoft.com/office/drawing/2014/main" id="{4620EE04-EB82-46E1-988B-BEA7263198B3}"/>
            </a:ext>
          </a:extLst>
        </xdr:cNvPr>
        <xdr:cNvSpPr/>
      </xdr:nvSpPr>
      <xdr:spPr>
        <a:xfrm>
          <a:off x="533083" y="6793839"/>
          <a:ext cx="2484937" cy="2023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17326</xdr:colOff>
      <xdr:row>39</xdr:row>
      <xdr:rowOff>17967</xdr:rowOff>
    </xdr:from>
    <xdr:to>
      <xdr:col>13</xdr:col>
      <xdr:colOff>53658</xdr:colOff>
      <xdr:row>40</xdr:row>
      <xdr:rowOff>17886</xdr:rowOff>
    </xdr:to>
    <xdr:sp macro="" textlink="">
      <xdr:nvSpPr>
        <xdr:cNvPr id="21" name="Shape 19">
          <a:extLst>
            <a:ext uri="{FF2B5EF4-FFF2-40B4-BE49-F238E27FC236}">
              <a16:creationId xmlns:a16="http://schemas.microsoft.com/office/drawing/2014/main" id="{F19FFB26-080F-4C12-85E5-D83A0D54E0C4}"/>
            </a:ext>
          </a:extLst>
        </xdr:cNvPr>
        <xdr:cNvSpPr/>
      </xdr:nvSpPr>
      <xdr:spPr>
        <a:xfrm>
          <a:off x="3138351" y="6841042"/>
          <a:ext cx="1367927" cy="19422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2965</xdr:colOff>
      <xdr:row>39</xdr:row>
      <xdr:rowOff>15427</xdr:rowOff>
    </xdr:from>
    <xdr:to>
      <xdr:col>19</xdr:col>
      <xdr:colOff>93843</xdr:colOff>
      <xdr:row>40</xdr:row>
      <xdr:rowOff>20531</xdr:rowOff>
    </xdr:to>
    <xdr:sp macro="" textlink="">
      <xdr:nvSpPr>
        <xdr:cNvPr id="22" name="Shape 19">
          <a:extLst>
            <a:ext uri="{FF2B5EF4-FFF2-40B4-BE49-F238E27FC236}">
              <a16:creationId xmlns:a16="http://schemas.microsoft.com/office/drawing/2014/main" id="{5972677E-DAF2-4183-B124-154F69667040}"/>
            </a:ext>
          </a:extLst>
        </xdr:cNvPr>
        <xdr:cNvSpPr/>
      </xdr:nvSpPr>
      <xdr:spPr>
        <a:xfrm>
          <a:off x="4651165" y="6821357"/>
          <a:ext cx="1890468" cy="19369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16195</xdr:colOff>
      <xdr:row>41</xdr:row>
      <xdr:rowOff>15652</xdr:rowOff>
    </xdr:from>
    <xdr:to>
      <xdr:col>8</xdr:col>
      <xdr:colOff>502</xdr:colOff>
      <xdr:row>42</xdr:row>
      <xdr:rowOff>20422</xdr:rowOff>
    </xdr:to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6801A9B4-C6CC-4E9D-9A32-1FF866CCF1DA}"/>
            </a:ext>
          </a:extLst>
        </xdr:cNvPr>
        <xdr:cNvSpPr/>
      </xdr:nvSpPr>
      <xdr:spPr>
        <a:xfrm>
          <a:off x="528005" y="7084472"/>
          <a:ext cx="2482397" cy="20924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22724</xdr:colOff>
      <xdr:row>41</xdr:row>
      <xdr:rowOff>15924</xdr:rowOff>
    </xdr:from>
    <xdr:to>
      <xdr:col>13</xdr:col>
      <xdr:colOff>54792</xdr:colOff>
      <xdr:row>42</xdr:row>
      <xdr:rowOff>20158</xdr:rowOff>
    </xdr:to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D703928B-C237-409E-834D-6DF470B39AF7}"/>
            </a:ext>
          </a:extLst>
        </xdr:cNvPr>
        <xdr:cNvSpPr/>
      </xdr:nvSpPr>
      <xdr:spPr>
        <a:xfrm>
          <a:off x="3145654" y="7099984"/>
          <a:ext cx="1376998" cy="18774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1028</xdr:colOff>
      <xdr:row>41</xdr:row>
      <xdr:rowOff>16711</xdr:rowOff>
    </xdr:from>
    <xdr:to>
      <xdr:col>19</xdr:col>
      <xdr:colOff>54368</xdr:colOff>
      <xdr:row>42</xdr:row>
      <xdr:rowOff>15897</xdr:rowOff>
    </xdr:to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3C205DFD-76D3-4AAC-8CBA-EDF8A503F72D}"/>
            </a:ext>
          </a:extLst>
        </xdr:cNvPr>
        <xdr:cNvSpPr/>
      </xdr:nvSpPr>
      <xdr:spPr>
        <a:xfrm>
          <a:off x="4639703" y="7085531"/>
          <a:ext cx="1870075" cy="20365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18098</xdr:colOff>
      <xdr:row>44</xdr:row>
      <xdr:rowOff>59034</xdr:rowOff>
    </xdr:from>
    <xdr:to>
      <xdr:col>13</xdr:col>
      <xdr:colOff>58421</xdr:colOff>
      <xdr:row>46</xdr:row>
      <xdr:rowOff>22062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59002017-64D0-49AF-8B52-B1539DF1B6B4}"/>
            </a:ext>
          </a:extLst>
        </xdr:cNvPr>
        <xdr:cNvSpPr/>
      </xdr:nvSpPr>
      <xdr:spPr>
        <a:xfrm>
          <a:off x="3142933" y="7630774"/>
          <a:ext cx="1370013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15</xdr:col>
      <xdr:colOff>39336</xdr:colOff>
      <xdr:row>44</xdr:row>
      <xdr:rowOff>57976</xdr:rowOff>
    </xdr:from>
    <xdr:to>
      <xdr:col>19</xdr:col>
      <xdr:colOff>95353</xdr:colOff>
      <xdr:row>46</xdr:row>
      <xdr:rowOff>15289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73FB0933-23C9-453F-96A3-5AFFEA6B71D5}"/>
            </a:ext>
          </a:extLst>
        </xdr:cNvPr>
        <xdr:cNvSpPr/>
      </xdr:nvSpPr>
      <xdr:spPr>
        <a:xfrm>
          <a:off x="4693886" y="7620191"/>
          <a:ext cx="1839732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54096</xdr:colOff>
      <xdr:row>47</xdr:row>
      <xdr:rowOff>39934</xdr:rowOff>
    </xdr:from>
    <xdr:to>
      <xdr:col>7</xdr:col>
      <xdr:colOff>283209</xdr:colOff>
      <xdr:row>48</xdr:row>
      <xdr:rowOff>92709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7C84DE73-FC48-4621-B9ED-EF4CC6D6757F}"/>
            </a:ext>
          </a:extLst>
        </xdr:cNvPr>
        <xdr:cNvSpPr/>
      </xdr:nvSpPr>
      <xdr:spPr>
        <a:xfrm>
          <a:off x="558286" y="7964734"/>
          <a:ext cx="2248413" cy="233115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58541</xdr:colOff>
      <xdr:row>44</xdr:row>
      <xdr:rowOff>58954</xdr:rowOff>
    </xdr:from>
    <xdr:to>
      <xdr:col>7</xdr:col>
      <xdr:colOff>266700</xdr:colOff>
      <xdr:row>46</xdr:row>
      <xdr:rowOff>18415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E2395687-2D4A-41C7-8A41-BD6BD43C2B7F}"/>
            </a:ext>
          </a:extLst>
        </xdr:cNvPr>
        <xdr:cNvSpPr/>
      </xdr:nvSpPr>
      <xdr:spPr>
        <a:xfrm>
          <a:off x="557016" y="7638314"/>
          <a:ext cx="2236984" cy="235686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400"/>
        </a:p>
      </xdr:txBody>
    </xdr:sp>
    <xdr:clientData/>
  </xdr:twoCellAnchor>
  <xdr:twoCellAnchor editAs="absolute">
    <xdr:from>
      <xdr:col>1</xdr:col>
      <xdr:colOff>95250</xdr:colOff>
      <xdr:row>44</xdr:row>
      <xdr:rowOff>94053</xdr:rowOff>
    </xdr:from>
    <xdr:to>
      <xdr:col>6</xdr:col>
      <xdr:colOff>1678</xdr:colOff>
      <xdr:row>46</xdr:row>
      <xdr:rowOff>22785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118E97EC-B7FC-4E4D-AF65-60E6CB9C8130}"/>
            </a:ext>
          </a:extLst>
        </xdr:cNvPr>
        <xdr:cNvSpPr/>
      </xdr:nvSpPr>
      <xdr:spPr>
        <a:xfrm>
          <a:off x="593725" y="7682938"/>
          <a:ext cx="1841273" cy="185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TOTALES:</a:t>
          </a:r>
        </a:p>
      </xdr:txBody>
    </xdr:sp>
    <xdr:clientData/>
  </xdr:twoCellAnchor>
  <xdr:twoCellAnchor editAs="absolute">
    <xdr:from>
      <xdr:col>1</xdr:col>
      <xdr:colOff>39371</xdr:colOff>
      <xdr:row>47</xdr:row>
      <xdr:rowOff>59527</xdr:rowOff>
    </xdr:from>
    <xdr:to>
      <xdr:col>5</xdr:col>
      <xdr:colOff>549684</xdr:colOff>
      <xdr:row>48</xdr:row>
      <xdr:rowOff>59386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E595A48B-2747-4930-A633-AF6B515FA7B0}"/>
            </a:ext>
          </a:extLst>
        </xdr:cNvPr>
        <xdr:cNvSpPr/>
      </xdr:nvSpPr>
      <xdr:spPr>
        <a:xfrm>
          <a:off x="547371" y="7988137"/>
          <a:ext cx="1841273" cy="1763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 A PAGAR:</a:t>
          </a:r>
        </a:p>
      </xdr:txBody>
    </xdr:sp>
    <xdr:clientData/>
  </xdr:twoCellAnchor>
  <xdr:twoCellAnchor editAs="absolute">
    <xdr:from>
      <xdr:col>9</xdr:col>
      <xdr:colOff>19897</xdr:colOff>
      <xdr:row>47</xdr:row>
      <xdr:rowOff>21727</xdr:rowOff>
    </xdr:from>
    <xdr:to>
      <xdr:col>19</xdr:col>
      <xdr:colOff>72390</xdr:colOff>
      <xdr:row>48</xdr:row>
      <xdr:rowOff>54607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EA389E94-9E7B-4CB8-B82A-75F8E8647C17}"/>
            </a:ext>
          </a:extLst>
        </xdr:cNvPr>
        <xdr:cNvSpPr/>
      </xdr:nvSpPr>
      <xdr:spPr>
        <a:xfrm>
          <a:off x="3135207" y="7942717"/>
          <a:ext cx="3388783" cy="20941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-=</a:t>
          </a:r>
        </a:p>
      </xdr:txBody>
    </xdr:sp>
    <xdr:clientData/>
  </xdr:twoCellAnchor>
  <xdr:twoCellAnchor editAs="absolute">
    <xdr:from>
      <xdr:col>1</xdr:col>
      <xdr:colOff>1838</xdr:colOff>
      <xdr:row>7</xdr:row>
      <xdr:rowOff>20828</xdr:rowOff>
    </xdr:from>
    <xdr:to>
      <xdr:col>2</xdr:col>
      <xdr:colOff>34290</xdr:colOff>
      <xdr:row>8</xdr:row>
      <xdr:rowOff>3201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151231BB-37CD-4974-ADFC-11F776E399EE}"/>
            </a:ext>
          </a:extLst>
        </xdr:cNvPr>
        <xdr:cNvSpPr/>
      </xdr:nvSpPr>
      <xdr:spPr>
        <a:xfrm>
          <a:off x="512378" y="1409573"/>
          <a:ext cx="520132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1837</xdr:colOff>
      <xdr:row>8</xdr:row>
      <xdr:rowOff>56198</xdr:rowOff>
    </xdr:from>
    <xdr:to>
      <xdr:col>3</xdr:col>
      <xdr:colOff>93662</xdr:colOff>
      <xdr:row>8</xdr:row>
      <xdr:rowOff>173831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E76A81B8-6106-474F-96ED-480923D698F0}"/>
            </a:ext>
          </a:extLst>
        </xdr:cNvPr>
        <xdr:cNvSpPr/>
      </xdr:nvSpPr>
      <xdr:spPr>
        <a:xfrm>
          <a:off x="512377" y="1675448"/>
          <a:ext cx="771910" cy="13287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NOMBRE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1838</xdr:colOff>
      <xdr:row>9</xdr:row>
      <xdr:rowOff>55731</xdr:rowOff>
    </xdr:from>
    <xdr:to>
      <xdr:col>5</xdr:col>
      <xdr:colOff>96066</xdr:colOff>
      <xdr:row>10</xdr:row>
      <xdr:rowOff>3602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2D84D4CA-F94C-43AF-BAFB-97364ED19E69}"/>
            </a:ext>
          </a:extLst>
        </xdr:cNvPr>
        <xdr:cNvSpPr/>
      </xdr:nvSpPr>
      <xdr:spPr>
        <a:xfrm>
          <a:off x="512378" y="1894056"/>
          <a:ext cx="1416298" cy="15170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FECHA DE INGRESO:</a:t>
          </a:r>
        </a:p>
      </xdr:txBody>
    </xdr:sp>
    <xdr:clientData/>
  </xdr:twoCellAnchor>
  <xdr:twoCellAnchor editAs="absolute">
    <xdr:from>
      <xdr:col>1</xdr:col>
      <xdr:colOff>1838</xdr:colOff>
      <xdr:row>10</xdr:row>
      <xdr:rowOff>54932</xdr:rowOff>
    </xdr:from>
    <xdr:to>
      <xdr:col>3</xdr:col>
      <xdr:colOff>2993</xdr:colOff>
      <xdr:row>11</xdr:row>
      <xdr:rowOff>1110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EAA79764-43B0-4AB0-9A1A-2970A4BA1CF7}"/>
            </a:ext>
          </a:extLst>
        </xdr:cNvPr>
        <xdr:cNvSpPr/>
      </xdr:nvSpPr>
      <xdr:spPr>
        <a:xfrm>
          <a:off x="512378" y="2093282"/>
          <a:ext cx="671715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CARGO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15240</xdr:colOff>
      <xdr:row>12</xdr:row>
      <xdr:rowOff>17145</xdr:rowOff>
    </xdr:from>
    <xdr:to>
      <xdr:col>5</xdr:col>
      <xdr:colOff>578816</xdr:colOff>
      <xdr:row>13</xdr:row>
      <xdr:rowOff>320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A19AEFFA-16C7-4E0D-B18C-AD5F9B67DD52}"/>
            </a:ext>
          </a:extLst>
        </xdr:cNvPr>
        <xdr:cNvSpPr/>
      </xdr:nvSpPr>
      <xdr:spPr>
        <a:xfrm>
          <a:off x="514350" y="2604135"/>
          <a:ext cx="1898981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TRABAJADOS:</a:t>
          </a:r>
        </a:p>
      </xdr:txBody>
    </xdr:sp>
    <xdr:clientData/>
  </xdr:twoCellAnchor>
  <xdr:twoCellAnchor editAs="absolute">
    <xdr:from>
      <xdr:col>7</xdr:col>
      <xdr:colOff>17962</xdr:colOff>
      <xdr:row>12</xdr:row>
      <xdr:rowOff>17145</xdr:rowOff>
    </xdr:from>
    <xdr:to>
      <xdr:col>13</xdr:col>
      <xdr:colOff>15979</xdr:colOff>
      <xdr:row>13</xdr:row>
      <xdr:rowOff>320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A6906284-CDCD-4A1E-B633-D47ED87974B8}"/>
            </a:ext>
          </a:extLst>
        </xdr:cNvPr>
        <xdr:cNvSpPr/>
      </xdr:nvSpPr>
      <xdr:spPr>
        <a:xfrm>
          <a:off x="2543992" y="2604135"/>
          <a:ext cx="1925877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LICENCIA:</a:t>
          </a:r>
        </a:p>
      </xdr:txBody>
    </xdr:sp>
    <xdr:clientData/>
  </xdr:twoCellAnchor>
  <xdr:twoCellAnchor editAs="absolute">
    <xdr:from>
      <xdr:col>14</xdr:col>
      <xdr:colOff>35742</xdr:colOff>
      <xdr:row>12</xdr:row>
      <xdr:rowOff>17145</xdr:rowOff>
    </xdr:from>
    <xdr:to>
      <xdr:col>18</xdr:col>
      <xdr:colOff>416982</xdr:colOff>
      <xdr:row>13</xdr:row>
      <xdr:rowOff>320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ED9EE38E-EF87-4422-A756-8A98C9A2BD3D}"/>
            </a:ext>
          </a:extLst>
        </xdr:cNvPr>
        <xdr:cNvSpPr/>
      </xdr:nvSpPr>
      <xdr:spPr>
        <a:xfrm>
          <a:off x="4592502" y="2604135"/>
          <a:ext cx="1844280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AUSENCIA:</a:t>
          </a:r>
        </a:p>
      </xdr:txBody>
    </xdr:sp>
    <xdr:clientData/>
  </xdr:twoCellAnchor>
  <xdr:twoCellAnchor editAs="absolute">
    <xdr:from>
      <xdr:col>1</xdr:col>
      <xdr:colOff>15240</xdr:colOff>
      <xdr:row>14</xdr:row>
      <xdr:rowOff>19050</xdr:rowOff>
    </xdr:from>
    <xdr:to>
      <xdr:col>5</xdr:col>
      <xdr:colOff>578816</xdr:colOff>
      <xdr:row>15</xdr:row>
      <xdr:rowOff>265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3FF0107D-9838-4793-8A15-FFEE568B24A5}"/>
            </a:ext>
          </a:extLst>
        </xdr:cNvPr>
        <xdr:cNvSpPr/>
      </xdr:nvSpPr>
      <xdr:spPr>
        <a:xfrm>
          <a:off x="514350" y="2897505"/>
          <a:ext cx="1898981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7</xdr:col>
      <xdr:colOff>17962</xdr:colOff>
      <xdr:row>14</xdr:row>
      <xdr:rowOff>19050</xdr:rowOff>
    </xdr:from>
    <xdr:to>
      <xdr:col>13</xdr:col>
      <xdr:colOff>15979</xdr:colOff>
      <xdr:row>15</xdr:row>
      <xdr:rowOff>265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F3F864BA-3AD1-4502-B762-F672094AD93F}"/>
            </a:ext>
          </a:extLst>
        </xdr:cNvPr>
        <xdr:cNvSpPr/>
      </xdr:nvSpPr>
      <xdr:spPr>
        <a:xfrm>
          <a:off x="2543992" y="2897505"/>
          <a:ext cx="192587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14</xdr:col>
      <xdr:colOff>19125</xdr:colOff>
      <xdr:row>14</xdr:row>
      <xdr:rowOff>19050</xdr:rowOff>
    </xdr:from>
    <xdr:to>
      <xdr:col>18</xdr:col>
      <xdr:colOff>418887</xdr:colOff>
      <xdr:row>15</xdr:row>
      <xdr:rowOff>265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00E47B59-8AEC-48A8-AFCD-14D66880FBAE}"/>
            </a:ext>
          </a:extLst>
        </xdr:cNvPr>
        <xdr:cNvSpPr/>
      </xdr:nvSpPr>
      <xdr:spPr>
        <a:xfrm>
          <a:off x="4566360" y="2897505"/>
          <a:ext cx="187232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</xdr:col>
      <xdr:colOff>15240</xdr:colOff>
      <xdr:row>16</xdr:row>
      <xdr:rowOff>169545</xdr:rowOff>
    </xdr:from>
    <xdr:to>
      <xdr:col>7</xdr:col>
      <xdr:colOff>454207</xdr:colOff>
      <xdr:row>18</xdr:row>
      <xdr:rowOff>20850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65248A12-5997-4497-A0B0-A2EB409F4DD0}"/>
            </a:ext>
          </a:extLst>
        </xdr:cNvPr>
        <xdr:cNvSpPr/>
      </xdr:nvSpPr>
      <xdr:spPr>
        <a:xfrm>
          <a:off x="514350" y="3547110"/>
          <a:ext cx="2469697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DETALLE:</a:t>
          </a:r>
        </a:p>
      </xdr:txBody>
    </xdr:sp>
    <xdr:clientData/>
  </xdr:twoCellAnchor>
  <xdr:twoCellAnchor editAs="absolute">
    <xdr:from>
      <xdr:col>8</xdr:col>
      <xdr:colOff>78921</xdr:colOff>
      <xdr:row>16</xdr:row>
      <xdr:rowOff>169545</xdr:rowOff>
    </xdr:from>
    <xdr:to>
      <xdr:col>13</xdr:col>
      <xdr:colOff>1607</xdr:colOff>
      <xdr:row>18</xdr:row>
      <xdr:rowOff>20850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121608C5-F9F5-46D9-B84B-D01218E676B7}"/>
            </a:ext>
          </a:extLst>
        </xdr:cNvPr>
        <xdr:cNvSpPr/>
      </xdr:nvSpPr>
      <xdr:spPr>
        <a:xfrm>
          <a:off x="3088821" y="3547110"/>
          <a:ext cx="1378106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HABERES:</a:t>
          </a:r>
        </a:p>
      </xdr:txBody>
    </xdr:sp>
    <xdr:clientData/>
  </xdr:twoCellAnchor>
  <xdr:twoCellAnchor editAs="absolute">
    <xdr:from>
      <xdr:col>14</xdr:col>
      <xdr:colOff>1980</xdr:colOff>
      <xdr:row>16</xdr:row>
      <xdr:rowOff>169545</xdr:rowOff>
    </xdr:from>
    <xdr:to>
      <xdr:col>19</xdr:col>
      <xdr:colOff>921</xdr:colOff>
      <xdr:row>18</xdr:row>
      <xdr:rowOff>20850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75525EF1-4FDE-4B02-9727-0FC716F9DC31}"/>
            </a:ext>
          </a:extLst>
        </xdr:cNvPr>
        <xdr:cNvSpPr/>
      </xdr:nvSpPr>
      <xdr:spPr>
        <a:xfrm>
          <a:off x="4558740" y="3547110"/>
          <a:ext cx="1896321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DESCUENTO:</a:t>
          </a:r>
        </a:p>
      </xdr:txBody>
    </xdr:sp>
    <xdr:clientData/>
  </xdr:twoCellAnchor>
  <xdr:twoCellAnchor editAs="absolute">
    <xdr:from>
      <xdr:col>10</xdr:col>
      <xdr:colOff>110634</xdr:colOff>
      <xdr:row>7</xdr:row>
      <xdr:rowOff>20828</xdr:rowOff>
    </xdr:from>
    <xdr:to>
      <xdr:col>15</xdr:col>
      <xdr:colOff>3514</xdr:colOff>
      <xdr:row>8</xdr:row>
      <xdr:rowOff>3201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A8CFF5FF-180C-43E7-AB86-5E72B1886C9F}"/>
            </a:ext>
          </a:extLst>
        </xdr:cNvPr>
        <xdr:cNvSpPr/>
      </xdr:nvSpPr>
      <xdr:spPr>
        <a:xfrm>
          <a:off x="3501534" y="1409573"/>
          <a:ext cx="1150180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RAZÓN SOCIAL: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8</xdr:row>
      <xdr:rowOff>56838</xdr:rowOff>
    </xdr:from>
    <xdr:to>
      <xdr:col>11</xdr:col>
      <xdr:colOff>472939</xdr:colOff>
      <xdr:row>9</xdr:row>
      <xdr:rowOff>1111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9899E02E-A8E7-4A47-B675-15604969BBFD}"/>
            </a:ext>
          </a:extLst>
        </xdr:cNvPr>
        <xdr:cNvSpPr/>
      </xdr:nvSpPr>
      <xdr:spPr>
        <a:xfrm>
          <a:off x="3501535" y="1693233"/>
          <a:ext cx="480414" cy="13667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9</xdr:row>
      <xdr:rowOff>60416</xdr:rowOff>
    </xdr:from>
    <xdr:to>
      <xdr:col>12</xdr:col>
      <xdr:colOff>282439</xdr:colOff>
      <xdr:row>10</xdr:row>
      <xdr:rowOff>3602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57880299-222E-4D99-AA4A-CDEA8BDE1E71}"/>
            </a:ext>
          </a:extLst>
        </xdr:cNvPr>
        <xdr:cNvSpPr/>
      </xdr:nvSpPr>
      <xdr:spPr>
        <a:xfrm>
          <a:off x="3501535" y="1896836"/>
          <a:ext cx="914754" cy="14892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DIRECCIÓN:</a:t>
          </a:r>
        </a:p>
      </xdr:txBody>
    </xdr:sp>
    <xdr:clientData/>
  </xdr:twoCellAnchor>
  <xdr:twoCellAnchor editAs="absolute">
    <xdr:from>
      <xdr:col>10</xdr:col>
      <xdr:colOff>110635</xdr:colOff>
      <xdr:row>10</xdr:row>
      <xdr:rowOff>54932</xdr:rowOff>
    </xdr:from>
    <xdr:to>
      <xdr:col>11</xdr:col>
      <xdr:colOff>608194</xdr:colOff>
      <xdr:row>11</xdr:row>
      <xdr:rowOff>1110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9ADD7669-3D51-48B1-BE79-824E0857B4DD}"/>
            </a:ext>
          </a:extLst>
        </xdr:cNvPr>
        <xdr:cNvSpPr/>
      </xdr:nvSpPr>
      <xdr:spPr>
        <a:xfrm>
          <a:off x="3501535" y="2093282"/>
          <a:ext cx="611859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EMAIL: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359797</xdr:colOff>
      <xdr:row>2</xdr:row>
      <xdr:rowOff>8245</xdr:rowOff>
    </xdr:from>
    <xdr:to>
      <xdr:col>15</xdr:col>
      <xdr:colOff>302812</xdr:colOff>
      <xdr:row>2</xdr:row>
      <xdr:rowOff>181427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973633D2-BC3B-47FF-9358-48CF5121F4C0}"/>
            </a:ext>
          </a:extLst>
        </xdr:cNvPr>
        <xdr:cNvSpPr/>
      </xdr:nvSpPr>
      <xdr:spPr>
        <a:xfrm>
          <a:off x="1838077" y="374005"/>
          <a:ext cx="3120555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accent1">
                  <a:lumMod val="75000"/>
                </a:schemeClr>
              </a:solidFill>
            </a:rPr>
            <a:t>LIQUIDACIÓN DE SUELDO</a:t>
          </a:r>
          <a:r>
            <a:rPr lang="es-CL" sz="1400" b="1" baseline="0">
              <a:solidFill>
                <a:schemeClr val="accent1">
                  <a:lumMod val="75000"/>
                </a:schemeClr>
              </a:solidFill>
            </a:rPr>
            <a:t> MENSUAL</a:t>
          </a:r>
          <a:endParaRPr lang="es-CL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64976</xdr:colOff>
      <xdr:row>53</xdr:row>
      <xdr:rowOff>8250</xdr:rowOff>
    </xdr:from>
    <xdr:to>
      <xdr:col>18</xdr:col>
      <xdr:colOff>242662</xdr:colOff>
      <xdr:row>53</xdr:row>
      <xdr:rowOff>181432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811C5B69-A0E1-4469-A245-E0E526FE37DD}"/>
            </a:ext>
          </a:extLst>
        </xdr:cNvPr>
        <xdr:cNvSpPr/>
      </xdr:nvSpPr>
      <xdr:spPr>
        <a:xfrm>
          <a:off x="4720796" y="8710290"/>
          <a:ext cx="1541666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50" b="1">
              <a:solidFill>
                <a:schemeClr val="accent1">
                  <a:lumMod val="75000"/>
                </a:schemeClr>
              </a:solidFill>
              <a:latin typeface="Raleway" panose="020B0503030101060003" pitchFamily="34" charset="0"/>
            </a:rPr>
            <a:t>FIRMA TRABAJADOR</a:t>
          </a:r>
        </a:p>
      </xdr:txBody>
    </xdr:sp>
    <xdr:clientData/>
  </xdr:twoCellAnchor>
  <xdr:twoCellAnchor>
    <xdr:from>
      <xdr:col>13</xdr:col>
      <xdr:colOff>54429</xdr:colOff>
      <xdr:row>52</xdr:row>
      <xdr:rowOff>63500</xdr:rowOff>
    </xdr:from>
    <xdr:to>
      <xdr:col>18</xdr:col>
      <xdr:colOff>411159</xdr:colOff>
      <xdr:row>52</xdr:row>
      <xdr:rowOff>63500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20337E0A-E05C-4938-9EC2-D476CC0306B7}"/>
            </a:ext>
          </a:extLst>
        </xdr:cNvPr>
        <xdr:cNvCxnSpPr/>
      </xdr:nvCxnSpPr>
      <xdr:spPr>
        <a:xfrm>
          <a:off x="4519749" y="8582660"/>
          <a:ext cx="1911210" cy="0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20107</xdr:colOff>
      <xdr:row>25</xdr:row>
      <xdr:rowOff>19687</xdr:rowOff>
    </xdr:from>
    <xdr:to>
      <xdr:col>7</xdr:col>
      <xdr:colOff>399415</xdr:colOff>
      <xdr:row>26</xdr:row>
      <xdr:rowOff>17357</xdr:rowOff>
    </xdr:to>
    <xdr:sp macro="" textlink="">
      <xdr:nvSpPr>
        <xdr:cNvPr id="53" name="Shape 19">
          <a:extLst>
            <a:ext uri="{FF2B5EF4-FFF2-40B4-BE49-F238E27FC236}">
              <a16:creationId xmlns:a16="http://schemas.microsoft.com/office/drawing/2014/main" id="{75DEC3D8-509B-4976-B16A-A3276500AC8B}"/>
            </a:ext>
          </a:extLst>
        </xdr:cNvPr>
        <xdr:cNvSpPr/>
      </xdr:nvSpPr>
      <xdr:spPr>
        <a:xfrm>
          <a:off x="521122" y="4785997"/>
          <a:ext cx="2421468" cy="2034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317</xdr:colOff>
      <xdr:row>25</xdr:row>
      <xdr:rowOff>16722</xdr:rowOff>
    </xdr:from>
    <xdr:to>
      <xdr:col>13</xdr:col>
      <xdr:colOff>2540</xdr:colOff>
      <xdr:row>25</xdr:row>
      <xdr:rowOff>189549</xdr:rowOff>
    </xdr:to>
    <xdr:sp macro="" textlink="">
      <xdr:nvSpPr>
        <xdr:cNvPr id="54" name="Shape 19">
          <a:extLst>
            <a:ext uri="{FF2B5EF4-FFF2-40B4-BE49-F238E27FC236}">
              <a16:creationId xmlns:a16="http://schemas.microsoft.com/office/drawing/2014/main" id="{4C601AB6-1299-4353-B2AA-074C93E486C3}"/>
            </a:ext>
          </a:extLst>
        </xdr:cNvPr>
        <xdr:cNvSpPr/>
      </xdr:nvSpPr>
      <xdr:spPr>
        <a:xfrm>
          <a:off x="3105467" y="4775412"/>
          <a:ext cx="1362393" cy="18425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73550</xdr:colOff>
      <xdr:row>25</xdr:row>
      <xdr:rowOff>17357</xdr:rowOff>
    </xdr:from>
    <xdr:to>
      <xdr:col>19</xdr:col>
      <xdr:colOff>20528</xdr:colOff>
      <xdr:row>26</xdr:row>
      <xdr:rowOff>18219</xdr:rowOff>
    </xdr:to>
    <xdr:sp macro="" textlink="">
      <xdr:nvSpPr>
        <xdr:cNvPr id="55" name="Shape 19">
          <a:extLst>
            <a:ext uri="{FF2B5EF4-FFF2-40B4-BE49-F238E27FC236}">
              <a16:creationId xmlns:a16="http://schemas.microsoft.com/office/drawing/2014/main" id="{51AF4E04-CCE5-4D3D-9483-A0C58AF58013}"/>
            </a:ext>
          </a:extLst>
        </xdr:cNvPr>
        <xdr:cNvSpPr/>
      </xdr:nvSpPr>
      <xdr:spPr>
        <a:xfrm>
          <a:off x="4630310" y="4791287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55563</xdr:colOff>
      <xdr:row>1</xdr:row>
      <xdr:rowOff>79377</xdr:rowOff>
    </xdr:from>
    <xdr:to>
      <xdr:col>5</xdr:col>
      <xdr:colOff>148593</xdr:colOff>
      <xdr:row>3</xdr:row>
      <xdr:rowOff>136210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AF5FA3C6-B4C4-48EA-B829-83489C469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03" y="262257"/>
          <a:ext cx="1418910" cy="494983"/>
        </a:xfrm>
        <a:prstGeom prst="rect">
          <a:avLst/>
        </a:prstGeom>
      </xdr:spPr>
    </xdr:pic>
    <xdr:clientData/>
  </xdr:twoCellAnchor>
  <xdr:twoCellAnchor editAs="absolute">
    <xdr:from>
      <xdr:col>1</xdr:col>
      <xdr:colOff>17356</xdr:colOff>
      <xdr:row>26</xdr:row>
      <xdr:rowOff>59690</xdr:rowOff>
    </xdr:from>
    <xdr:to>
      <xdr:col>7</xdr:col>
      <xdr:colOff>434764</xdr:colOff>
      <xdr:row>27</xdr:row>
      <xdr:rowOff>173776</xdr:rowOff>
    </xdr:to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A4871782-E92A-42F8-83EA-C0296B9F4511}"/>
            </a:ext>
          </a:extLst>
        </xdr:cNvPr>
        <xdr:cNvSpPr/>
      </xdr:nvSpPr>
      <xdr:spPr>
        <a:xfrm>
          <a:off x="531706" y="503174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59691</xdr:colOff>
      <xdr:row>27</xdr:row>
      <xdr:rowOff>0</xdr:rowOff>
    </xdr:from>
    <xdr:to>
      <xdr:col>13</xdr:col>
      <xdr:colOff>531</xdr:colOff>
      <xdr:row>28</xdr:row>
      <xdr:rowOff>20108</xdr:rowOff>
    </xdr:to>
    <xdr:sp macro="" textlink="">
      <xdr:nvSpPr>
        <xdr:cNvPr id="58" name="Shape 19">
          <a:extLst>
            <a:ext uri="{FF2B5EF4-FFF2-40B4-BE49-F238E27FC236}">
              <a16:creationId xmlns:a16="http://schemas.microsoft.com/office/drawing/2014/main" id="{BBED557D-4EC6-4393-AAFF-50F0549F3A3E}"/>
            </a:ext>
          </a:extLst>
        </xdr:cNvPr>
        <xdr:cNvSpPr/>
      </xdr:nvSpPr>
      <xdr:spPr>
        <a:xfrm>
          <a:off x="3073401" y="504444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74084</xdr:colOff>
      <xdr:row>27</xdr:row>
      <xdr:rowOff>0</xdr:rowOff>
    </xdr:from>
    <xdr:to>
      <xdr:col>19</xdr:col>
      <xdr:colOff>21062</xdr:colOff>
      <xdr:row>28</xdr:row>
      <xdr:rowOff>862</xdr:rowOff>
    </xdr:to>
    <xdr:sp macro="" textlink="">
      <xdr:nvSpPr>
        <xdr:cNvPr id="59" name="Shape 19">
          <a:extLst>
            <a:ext uri="{FF2B5EF4-FFF2-40B4-BE49-F238E27FC236}">
              <a16:creationId xmlns:a16="http://schemas.microsoft.com/office/drawing/2014/main" id="{47F81930-A6DC-417D-A3FC-D49FB1397C1D}"/>
            </a:ext>
          </a:extLst>
        </xdr:cNvPr>
        <xdr:cNvSpPr/>
      </xdr:nvSpPr>
      <xdr:spPr>
        <a:xfrm>
          <a:off x="4630844" y="504444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29</xdr:row>
      <xdr:rowOff>0</xdr:rowOff>
    </xdr:from>
    <xdr:to>
      <xdr:col>7</xdr:col>
      <xdr:colOff>398358</xdr:colOff>
      <xdr:row>30</xdr:row>
      <xdr:rowOff>1056</xdr:rowOff>
    </xdr:to>
    <xdr:sp macro="" textlink="">
      <xdr:nvSpPr>
        <xdr:cNvPr id="60" name="Shape 19">
          <a:extLst>
            <a:ext uri="{FF2B5EF4-FFF2-40B4-BE49-F238E27FC236}">
              <a16:creationId xmlns:a16="http://schemas.microsoft.com/office/drawing/2014/main" id="{EE99FDCB-8691-432E-A669-9A6EED90549B}"/>
            </a:ext>
          </a:extLst>
        </xdr:cNvPr>
        <xdr:cNvSpPr/>
      </xdr:nvSpPr>
      <xdr:spPr>
        <a:xfrm>
          <a:off x="510540" y="529590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29</xdr:row>
      <xdr:rowOff>0</xdr:rowOff>
    </xdr:from>
    <xdr:to>
      <xdr:col>13</xdr:col>
      <xdr:colOff>36090</xdr:colOff>
      <xdr:row>30</xdr:row>
      <xdr:rowOff>20108</xdr:rowOff>
    </xdr:to>
    <xdr:sp macro="" textlink="">
      <xdr:nvSpPr>
        <xdr:cNvPr id="61" name="Shape 19">
          <a:extLst>
            <a:ext uri="{FF2B5EF4-FFF2-40B4-BE49-F238E27FC236}">
              <a16:creationId xmlns:a16="http://schemas.microsoft.com/office/drawing/2014/main" id="{FA5480A8-49C2-4CEF-B8A5-DF56346F90F2}"/>
            </a:ext>
          </a:extLst>
        </xdr:cNvPr>
        <xdr:cNvSpPr/>
      </xdr:nvSpPr>
      <xdr:spPr>
        <a:xfrm>
          <a:off x="3108960" y="52959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20108</xdr:colOff>
      <xdr:row>29</xdr:row>
      <xdr:rowOff>0</xdr:rowOff>
    </xdr:from>
    <xdr:to>
      <xdr:col>19</xdr:col>
      <xdr:colOff>56621</xdr:colOff>
      <xdr:row>30</xdr:row>
      <xdr:rowOff>862</xdr:rowOff>
    </xdr:to>
    <xdr:sp macro="" textlink="">
      <xdr:nvSpPr>
        <xdr:cNvPr id="62" name="Shape 19">
          <a:extLst>
            <a:ext uri="{FF2B5EF4-FFF2-40B4-BE49-F238E27FC236}">
              <a16:creationId xmlns:a16="http://schemas.microsoft.com/office/drawing/2014/main" id="{06609B7B-CD15-47AA-9BF6-4837E5C5882E}"/>
            </a:ext>
          </a:extLst>
        </xdr:cNvPr>
        <xdr:cNvSpPr/>
      </xdr:nvSpPr>
      <xdr:spPr>
        <a:xfrm>
          <a:off x="4666403" y="529590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31</xdr:row>
      <xdr:rowOff>0</xdr:rowOff>
    </xdr:from>
    <xdr:to>
      <xdr:col>7</xdr:col>
      <xdr:colOff>398358</xdr:colOff>
      <xdr:row>32</xdr:row>
      <xdr:rowOff>1056</xdr:rowOff>
    </xdr:to>
    <xdr:sp macro="" textlink="">
      <xdr:nvSpPr>
        <xdr:cNvPr id="63" name="Shape 19">
          <a:extLst>
            <a:ext uri="{FF2B5EF4-FFF2-40B4-BE49-F238E27FC236}">
              <a16:creationId xmlns:a16="http://schemas.microsoft.com/office/drawing/2014/main" id="{237119AC-BF11-4D69-A7BF-F46EAD2F3E1C}"/>
            </a:ext>
          </a:extLst>
        </xdr:cNvPr>
        <xdr:cNvSpPr/>
      </xdr:nvSpPr>
      <xdr:spPr>
        <a:xfrm>
          <a:off x="508000" y="558165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31</xdr:row>
      <xdr:rowOff>0</xdr:rowOff>
    </xdr:from>
    <xdr:to>
      <xdr:col>13</xdr:col>
      <xdr:colOff>36090</xdr:colOff>
      <xdr:row>32</xdr:row>
      <xdr:rowOff>20108</xdr:rowOff>
    </xdr:to>
    <xdr:sp macro="" textlink="">
      <xdr:nvSpPr>
        <xdr:cNvPr id="65" name="Shape 19">
          <a:extLst>
            <a:ext uri="{FF2B5EF4-FFF2-40B4-BE49-F238E27FC236}">
              <a16:creationId xmlns:a16="http://schemas.microsoft.com/office/drawing/2014/main" id="{25CFE1EC-C1F3-4009-82D6-F62BFF93906A}"/>
            </a:ext>
          </a:extLst>
        </xdr:cNvPr>
        <xdr:cNvSpPr/>
      </xdr:nvSpPr>
      <xdr:spPr>
        <a:xfrm>
          <a:off x="3111500" y="5581650"/>
          <a:ext cx="1388640" cy="20743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0</xdr:colOff>
      <xdr:row>31</xdr:row>
      <xdr:rowOff>0</xdr:rowOff>
    </xdr:from>
    <xdr:to>
      <xdr:col>19</xdr:col>
      <xdr:colOff>53658</xdr:colOff>
      <xdr:row>32</xdr:row>
      <xdr:rowOff>862</xdr:rowOff>
    </xdr:to>
    <xdr:sp macro="" textlink="">
      <xdr:nvSpPr>
        <xdr:cNvPr id="66" name="Shape 19">
          <a:extLst>
            <a:ext uri="{FF2B5EF4-FFF2-40B4-BE49-F238E27FC236}">
              <a16:creationId xmlns:a16="http://schemas.microsoft.com/office/drawing/2014/main" id="{35E7AB3D-6380-42A6-B7F0-DDE3BC81B584}"/>
            </a:ext>
          </a:extLst>
        </xdr:cNvPr>
        <xdr:cNvSpPr/>
      </xdr:nvSpPr>
      <xdr:spPr>
        <a:xfrm>
          <a:off x="4654550" y="5581650"/>
          <a:ext cx="1846898" cy="19771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500063</xdr:colOff>
      <xdr:row>53</xdr:row>
      <xdr:rowOff>174625</xdr:rowOff>
    </xdr:from>
    <xdr:to>
      <xdr:col>19</xdr:col>
      <xdr:colOff>113770</xdr:colOff>
      <xdr:row>60</xdr:row>
      <xdr:rowOff>135776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AEA7A7-5032-4CB5-8C1B-0BA128CCD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6"/>
        <a:stretch/>
      </xdr:blipFill>
      <xdr:spPr>
        <a:xfrm>
          <a:off x="500063" y="9181465"/>
          <a:ext cx="6067847" cy="124893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97020</xdr:colOff>
      <xdr:row>12</xdr:row>
      <xdr:rowOff>36880</xdr:rowOff>
    </xdr:from>
    <xdr:to>
      <xdr:col>12</xdr:col>
      <xdr:colOff>212907</xdr:colOff>
      <xdr:row>13</xdr:row>
      <xdr:rowOff>1357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FAA37F7-E93E-4A92-87F9-DADBD01FFDB2}"/>
            </a:ext>
          </a:extLst>
        </xdr:cNvPr>
        <xdr:cNvSpPr/>
      </xdr:nvSpPr>
      <xdr:spPr>
        <a:xfrm>
          <a:off x="2613525" y="2627680"/>
          <a:ext cx="1740852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LICENCIA</a:t>
          </a:r>
        </a:p>
      </xdr:txBody>
    </xdr:sp>
    <xdr:clientData/>
  </xdr:twoCellAnchor>
  <xdr:twoCellAnchor editAs="absolute">
    <xdr:from>
      <xdr:col>15</xdr:col>
      <xdr:colOff>500</xdr:colOff>
      <xdr:row>12</xdr:row>
      <xdr:rowOff>36880</xdr:rowOff>
    </xdr:from>
    <xdr:to>
      <xdr:col>18</xdr:col>
      <xdr:colOff>345305</xdr:colOff>
      <xdr:row>13</xdr:row>
      <xdr:rowOff>1357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42FF15AE-01D6-44E2-8D8F-B57D9BF38B4F}"/>
            </a:ext>
          </a:extLst>
        </xdr:cNvPr>
        <xdr:cNvSpPr/>
      </xdr:nvSpPr>
      <xdr:spPr>
        <a:xfrm>
          <a:off x="4644890" y="2627680"/>
          <a:ext cx="1720215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AUSENCIA</a:t>
          </a:r>
        </a:p>
      </xdr:txBody>
    </xdr:sp>
    <xdr:clientData/>
  </xdr:twoCellAnchor>
  <xdr:twoCellAnchor editAs="absolute">
    <xdr:from>
      <xdr:col>1</xdr:col>
      <xdr:colOff>360998</xdr:colOff>
      <xdr:row>17</xdr:row>
      <xdr:rowOff>2007</xdr:rowOff>
    </xdr:from>
    <xdr:to>
      <xdr:col>7</xdr:col>
      <xdr:colOff>74160</xdr:colOff>
      <xdr:row>18</xdr:row>
      <xdr:rowOff>542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C82D92E-90F3-4FF1-8F68-2A64287DD6D9}"/>
            </a:ext>
          </a:extLst>
        </xdr:cNvPr>
        <xdr:cNvSpPr/>
      </xdr:nvSpPr>
      <xdr:spPr>
        <a:xfrm>
          <a:off x="867728" y="3552927"/>
          <a:ext cx="1736272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DETALLES:</a:t>
          </a:r>
        </a:p>
      </xdr:txBody>
    </xdr:sp>
    <xdr:clientData/>
  </xdr:twoCellAnchor>
  <xdr:twoCellAnchor editAs="absolute">
    <xdr:from>
      <xdr:col>7</xdr:col>
      <xdr:colOff>365625</xdr:colOff>
      <xdr:row>17</xdr:row>
      <xdr:rowOff>407</xdr:rowOff>
    </xdr:from>
    <xdr:to>
      <xdr:col>15</xdr:col>
      <xdr:colOff>2405</xdr:colOff>
      <xdr:row>17</xdr:row>
      <xdr:rowOff>191042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EB7F98F-E69D-42FF-BF5E-CE5E88CE752A}"/>
            </a:ext>
          </a:extLst>
        </xdr:cNvPr>
        <xdr:cNvSpPr/>
      </xdr:nvSpPr>
      <xdr:spPr>
        <a:xfrm>
          <a:off x="2899275" y="3549422"/>
          <a:ext cx="1758950" cy="192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HABERES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15</xdr:col>
      <xdr:colOff>2405</xdr:colOff>
      <xdr:row>17</xdr:row>
      <xdr:rowOff>2008</xdr:rowOff>
    </xdr:from>
    <xdr:to>
      <xdr:col>18</xdr:col>
      <xdr:colOff>358640</xdr:colOff>
      <xdr:row>18</xdr:row>
      <xdr:rowOff>543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F045B22-B43D-4BF9-9267-F3169704A515}"/>
            </a:ext>
          </a:extLst>
        </xdr:cNvPr>
        <xdr:cNvSpPr/>
      </xdr:nvSpPr>
      <xdr:spPr>
        <a:xfrm>
          <a:off x="4658225" y="3552928"/>
          <a:ext cx="1716405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DESCUENTO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</xdr:col>
      <xdr:colOff>0</xdr:colOff>
      <xdr:row>21</xdr:row>
      <xdr:rowOff>184</xdr:rowOff>
    </xdr:from>
    <xdr:to>
      <xdr:col>7</xdr:col>
      <xdr:colOff>437062</xdr:colOff>
      <xdr:row>22</xdr:row>
      <xdr:rowOff>2271</xdr:rowOff>
    </xdr:to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EF7A60A2-A31B-4EC6-86DD-807EEC6AFEAD}"/>
            </a:ext>
          </a:extLst>
        </xdr:cNvPr>
        <xdr:cNvSpPr/>
      </xdr:nvSpPr>
      <xdr:spPr>
        <a:xfrm>
          <a:off x="510540" y="4267384"/>
          <a:ext cx="2460172" cy="20020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18488</xdr:colOff>
      <xdr:row>21</xdr:row>
      <xdr:rowOff>3542</xdr:rowOff>
    </xdr:from>
    <xdr:to>
      <xdr:col>13</xdr:col>
      <xdr:colOff>18595</xdr:colOff>
      <xdr:row>22</xdr:row>
      <xdr:rowOff>17141</xdr:rowOff>
    </xdr:to>
    <xdr:sp macro="" textlink="">
      <xdr:nvSpPr>
        <xdr:cNvPr id="9" name="Shape 19">
          <a:extLst>
            <a:ext uri="{FF2B5EF4-FFF2-40B4-BE49-F238E27FC236}">
              <a16:creationId xmlns:a16="http://schemas.microsoft.com/office/drawing/2014/main" id="{298B2F5A-7132-4F12-BC01-3794EA7A7818}"/>
            </a:ext>
          </a:extLst>
        </xdr:cNvPr>
        <xdr:cNvSpPr/>
      </xdr:nvSpPr>
      <xdr:spPr>
        <a:xfrm>
          <a:off x="3131258" y="4270742"/>
          <a:ext cx="1362182" cy="20028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58386</xdr:colOff>
      <xdr:row>21</xdr:row>
      <xdr:rowOff>184</xdr:rowOff>
    </xdr:from>
    <xdr:to>
      <xdr:col>19</xdr:col>
      <xdr:colOff>18382</xdr:colOff>
      <xdr:row>22</xdr:row>
      <xdr:rowOff>2190</xdr:rowOff>
    </xdr:to>
    <xdr:sp macro="" textlink="">
      <xdr:nvSpPr>
        <xdr:cNvPr id="10" name="Shape 19">
          <a:extLst>
            <a:ext uri="{FF2B5EF4-FFF2-40B4-BE49-F238E27FC236}">
              <a16:creationId xmlns:a16="http://schemas.microsoft.com/office/drawing/2014/main" id="{45C89F8D-0400-41C7-8415-8D1CA2622087}"/>
            </a:ext>
          </a:extLst>
        </xdr:cNvPr>
        <xdr:cNvSpPr/>
      </xdr:nvSpPr>
      <xdr:spPr>
        <a:xfrm>
          <a:off x="4618956" y="4267384"/>
          <a:ext cx="1849756" cy="2001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23</xdr:row>
      <xdr:rowOff>853</xdr:rowOff>
    </xdr:from>
    <xdr:to>
      <xdr:col>7</xdr:col>
      <xdr:colOff>437062</xdr:colOff>
      <xdr:row>24</xdr:row>
      <xdr:rowOff>1796</xdr:rowOff>
    </xdr:to>
    <xdr:sp macro="" textlink="">
      <xdr:nvSpPr>
        <xdr:cNvPr id="11" name="Shape 19">
          <a:extLst>
            <a:ext uri="{FF2B5EF4-FFF2-40B4-BE49-F238E27FC236}">
              <a16:creationId xmlns:a16="http://schemas.microsoft.com/office/drawing/2014/main" id="{CB043486-9DCA-42D7-97BE-533B4B4A8EF7}"/>
            </a:ext>
          </a:extLst>
        </xdr:cNvPr>
        <xdr:cNvSpPr/>
      </xdr:nvSpPr>
      <xdr:spPr>
        <a:xfrm>
          <a:off x="510540" y="4519513"/>
          <a:ext cx="2460172" cy="1990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79979</xdr:colOff>
      <xdr:row>23</xdr:row>
      <xdr:rowOff>3541</xdr:rowOff>
    </xdr:from>
    <xdr:to>
      <xdr:col>13</xdr:col>
      <xdr:colOff>18702</xdr:colOff>
      <xdr:row>24</xdr:row>
      <xdr:rowOff>16666</xdr:rowOff>
    </xdr:to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2B7B75CF-C0BC-4183-B471-1290EE59B6D0}"/>
            </a:ext>
          </a:extLst>
        </xdr:cNvPr>
        <xdr:cNvSpPr/>
      </xdr:nvSpPr>
      <xdr:spPr>
        <a:xfrm>
          <a:off x="3089879" y="4522201"/>
          <a:ext cx="1390333" cy="19981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74367</xdr:colOff>
      <xdr:row>23</xdr:row>
      <xdr:rowOff>853</xdr:rowOff>
    </xdr:from>
    <xdr:to>
      <xdr:col>19</xdr:col>
      <xdr:colOff>21345</xdr:colOff>
      <xdr:row>24</xdr:row>
      <xdr:rowOff>1715</xdr:rowOff>
    </xdr:to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787FF091-6D68-4403-BD32-AE969FF44DBF}"/>
            </a:ext>
          </a:extLst>
        </xdr:cNvPr>
        <xdr:cNvSpPr/>
      </xdr:nvSpPr>
      <xdr:spPr>
        <a:xfrm>
          <a:off x="4631127" y="4519513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16195</xdr:colOff>
      <xdr:row>35</xdr:row>
      <xdr:rowOff>18913</xdr:rowOff>
    </xdr:from>
    <xdr:to>
      <xdr:col>8</xdr:col>
      <xdr:colOff>1137</xdr:colOff>
      <xdr:row>36</xdr:row>
      <xdr:rowOff>17058</xdr:rowOff>
    </xdr:to>
    <xdr:sp macro="" textlink="">
      <xdr:nvSpPr>
        <xdr:cNvPr id="14" name="Shape 19">
          <a:extLst>
            <a:ext uri="{FF2B5EF4-FFF2-40B4-BE49-F238E27FC236}">
              <a16:creationId xmlns:a16="http://schemas.microsoft.com/office/drawing/2014/main" id="{A367CC04-FF17-477E-AC26-F749E1FC6B23}"/>
            </a:ext>
          </a:extLst>
        </xdr:cNvPr>
        <xdr:cNvSpPr/>
      </xdr:nvSpPr>
      <xdr:spPr>
        <a:xfrm>
          <a:off x="522925" y="6324463"/>
          <a:ext cx="2482397" cy="19626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19549</xdr:colOff>
      <xdr:row>35</xdr:row>
      <xdr:rowOff>3117</xdr:rowOff>
    </xdr:from>
    <xdr:to>
      <xdr:col>13</xdr:col>
      <xdr:colOff>37012</xdr:colOff>
      <xdr:row>35</xdr:row>
      <xdr:rowOff>191602</xdr:rowOff>
    </xdr:to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8EF8AF6D-4CD5-4B50-A28A-DA8AECBABE2F}"/>
            </a:ext>
          </a:extLst>
        </xdr:cNvPr>
        <xdr:cNvSpPr/>
      </xdr:nvSpPr>
      <xdr:spPr>
        <a:xfrm>
          <a:off x="3118984" y="6304857"/>
          <a:ext cx="1383348" cy="18848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39791</xdr:colOff>
      <xdr:row>35</xdr:row>
      <xdr:rowOff>55032</xdr:rowOff>
    </xdr:from>
    <xdr:to>
      <xdr:col>19</xdr:col>
      <xdr:colOff>56269</xdr:colOff>
      <xdr:row>36</xdr:row>
      <xdr:rowOff>38144</xdr:rowOff>
    </xdr:to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1F47570E-1835-4F80-AC2C-1EC49609D652}"/>
            </a:ext>
          </a:extLst>
        </xdr:cNvPr>
        <xdr:cNvSpPr/>
      </xdr:nvSpPr>
      <xdr:spPr>
        <a:xfrm>
          <a:off x="4695611" y="6349152"/>
          <a:ext cx="1824323" cy="188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16193</xdr:colOff>
      <xdr:row>36</xdr:row>
      <xdr:rowOff>58298</xdr:rowOff>
    </xdr:from>
    <xdr:to>
      <xdr:col>8</xdr:col>
      <xdr:colOff>1135</xdr:colOff>
      <xdr:row>37</xdr:row>
      <xdr:rowOff>173726</xdr:rowOff>
    </xdr:to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6B77D5A6-D3FD-4B04-8AF7-714EDD27E9A8}"/>
            </a:ext>
          </a:extLst>
        </xdr:cNvPr>
        <xdr:cNvSpPr/>
      </xdr:nvSpPr>
      <xdr:spPr>
        <a:xfrm>
          <a:off x="522923" y="6554348"/>
          <a:ext cx="2482397" cy="199248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76</xdr:colOff>
      <xdr:row>36</xdr:row>
      <xdr:rowOff>75933</xdr:rowOff>
    </xdr:from>
    <xdr:to>
      <xdr:col>13</xdr:col>
      <xdr:colOff>3781</xdr:colOff>
      <xdr:row>37</xdr:row>
      <xdr:rowOff>190585</xdr:rowOff>
    </xdr:to>
    <xdr:sp macro="" textlink="">
      <xdr:nvSpPr>
        <xdr:cNvPr id="18" name="Shape 19">
          <a:extLst>
            <a:ext uri="{FF2B5EF4-FFF2-40B4-BE49-F238E27FC236}">
              <a16:creationId xmlns:a16="http://schemas.microsoft.com/office/drawing/2014/main" id="{D66C1FEE-8811-45EC-B2DC-DB26573AB66E}"/>
            </a:ext>
          </a:extLst>
        </xdr:cNvPr>
        <xdr:cNvSpPr/>
      </xdr:nvSpPr>
      <xdr:spPr>
        <a:xfrm>
          <a:off x="3109036" y="6575793"/>
          <a:ext cx="1360065" cy="190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2540</xdr:colOff>
      <xdr:row>37</xdr:row>
      <xdr:rowOff>15662</xdr:rowOff>
    </xdr:from>
    <xdr:to>
      <xdr:col>19</xdr:col>
      <xdr:colOff>56273</xdr:colOff>
      <xdr:row>38</xdr:row>
      <xdr:rowOff>1035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778FF9A9-5721-4E37-BB08-F0C635C331AA}"/>
            </a:ext>
          </a:extLst>
        </xdr:cNvPr>
        <xdr:cNvSpPr/>
      </xdr:nvSpPr>
      <xdr:spPr>
        <a:xfrm>
          <a:off x="4658360" y="6595532"/>
          <a:ext cx="1861578" cy="17587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21273</xdr:colOff>
      <xdr:row>39</xdr:row>
      <xdr:rowOff>1879</xdr:rowOff>
    </xdr:from>
    <xdr:to>
      <xdr:col>8</xdr:col>
      <xdr:colOff>15740</xdr:colOff>
      <xdr:row>39</xdr:row>
      <xdr:rowOff>175032</xdr:rowOff>
    </xdr:to>
    <xdr:sp macro="" textlink="">
      <xdr:nvSpPr>
        <xdr:cNvPr id="20" name="Shape 19">
          <a:extLst>
            <a:ext uri="{FF2B5EF4-FFF2-40B4-BE49-F238E27FC236}">
              <a16:creationId xmlns:a16="http://schemas.microsoft.com/office/drawing/2014/main" id="{1ADC102A-C178-48FB-92D1-DF9307FCD92A}"/>
            </a:ext>
          </a:extLst>
        </xdr:cNvPr>
        <xdr:cNvSpPr/>
      </xdr:nvSpPr>
      <xdr:spPr>
        <a:xfrm>
          <a:off x="535623" y="6817969"/>
          <a:ext cx="2482397" cy="19982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17326</xdr:colOff>
      <xdr:row>39</xdr:row>
      <xdr:rowOff>17967</xdr:rowOff>
    </xdr:from>
    <xdr:to>
      <xdr:col>13</xdr:col>
      <xdr:colOff>53658</xdr:colOff>
      <xdr:row>40</xdr:row>
      <xdr:rowOff>17886</xdr:rowOff>
    </xdr:to>
    <xdr:sp macro="" textlink="">
      <xdr:nvSpPr>
        <xdr:cNvPr id="21" name="Shape 19">
          <a:extLst>
            <a:ext uri="{FF2B5EF4-FFF2-40B4-BE49-F238E27FC236}">
              <a16:creationId xmlns:a16="http://schemas.microsoft.com/office/drawing/2014/main" id="{489B8724-BEF7-406B-895A-06804B4F3A82}"/>
            </a:ext>
          </a:extLst>
        </xdr:cNvPr>
        <xdr:cNvSpPr/>
      </xdr:nvSpPr>
      <xdr:spPr>
        <a:xfrm>
          <a:off x="3135811" y="6862632"/>
          <a:ext cx="1371737" cy="19422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2965</xdr:colOff>
      <xdr:row>39</xdr:row>
      <xdr:rowOff>15427</xdr:rowOff>
    </xdr:from>
    <xdr:to>
      <xdr:col>19</xdr:col>
      <xdr:colOff>93843</xdr:colOff>
      <xdr:row>40</xdr:row>
      <xdr:rowOff>20531</xdr:rowOff>
    </xdr:to>
    <xdr:sp macro="" textlink="">
      <xdr:nvSpPr>
        <xdr:cNvPr id="22" name="Shape 19">
          <a:extLst>
            <a:ext uri="{FF2B5EF4-FFF2-40B4-BE49-F238E27FC236}">
              <a16:creationId xmlns:a16="http://schemas.microsoft.com/office/drawing/2014/main" id="{E979A914-837B-4A5B-ABFE-308F41456290}"/>
            </a:ext>
          </a:extLst>
        </xdr:cNvPr>
        <xdr:cNvSpPr/>
      </xdr:nvSpPr>
      <xdr:spPr>
        <a:xfrm>
          <a:off x="4654975" y="6842947"/>
          <a:ext cx="1889198" cy="19369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16195</xdr:colOff>
      <xdr:row>41</xdr:row>
      <xdr:rowOff>15652</xdr:rowOff>
    </xdr:from>
    <xdr:to>
      <xdr:col>8</xdr:col>
      <xdr:colOff>502</xdr:colOff>
      <xdr:row>42</xdr:row>
      <xdr:rowOff>20422</xdr:rowOff>
    </xdr:to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622F9B48-A7FE-40B7-8F07-FCF745D76DB4}"/>
            </a:ext>
          </a:extLst>
        </xdr:cNvPr>
        <xdr:cNvSpPr/>
      </xdr:nvSpPr>
      <xdr:spPr>
        <a:xfrm>
          <a:off x="530545" y="7106062"/>
          <a:ext cx="2479857" cy="2105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22724</xdr:colOff>
      <xdr:row>41</xdr:row>
      <xdr:rowOff>15924</xdr:rowOff>
    </xdr:from>
    <xdr:to>
      <xdr:col>13</xdr:col>
      <xdr:colOff>54792</xdr:colOff>
      <xdr:row>42</xdr:row>
      <xdr:rowOff>20158</xdr:rowOff>
    </xdr:to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BE5FFD75-1FC6-4BB1-AD14-C0C0197CD2AD}"/>
            </a:ext>
          </a:extLst>
        </xdr:cNvPr>
        <xdr:cNvSpPr/>
      </xdr:nvSpPr>
      <xdr:spPr>
        <a:xfrm>
          <a:off x="3143114" y="7121574"/>
          <a:ext cx="1380808" cy="18901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1028</xdr:colOff>
      <xdr:row>41</xdr:row>
      <xdr:rowOff>16711</xdr:rowOff>
    </xdr:from>
    <xdr:to>
      <xdr:col>19</xdr:col>
      <xdr:colOff>54368</xdr:colOff>
      <xdr:row>42</xdr:row>
      <xdr:rowOff>15897</xdr:rowOff>
    </xdr:to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BB9DBCB9-D927-4FF4-8C7F-52EC8118C747}"/>
            </a:ext>
          </a:extLst>
        </xdr:cNvPr>
        <xdr:cNvSpPr/>
      </xdr:nvSpPr>
      <xdr:spPr>
        <a:xfrm>
          <a:off x="4643513" y="7107121"/>
          <a:ext cx="1868805" cy="2049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18098</xdr:colOff>
      <xdr:row>44</xdr:row>
      <xdr:rowOff>59034</xdr:rowOff>
    </xdr:from>
    <xdr:to>
      <xdr:col>13</xdr:col>
      <xdr:colOff>58421</xdr:colOff>
      <xdr:row>46</xdr:row>
      <xdr:rowOff>22062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FB15B6EA-120C-4613-A963-77A277B015FE}"/>
            </a:ext>
          </a:extLst>
        </xdr:cNvPr>
        <xdr:cNvSpPr/>
      </xdr:nvSpPr>
      <xdr:spPr>
        <a:xfrm>
          <a:off x="3140393" y="7652364"/>
          <a:ext cx="1373823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15</xdr:col>
      <xdr:colOff>39336</xdr:colOff>
      <xdr:row>44</xdr:row>
      <xdr:rowOff>57976</xdr:rowOff>
    </xdr:from>
    <xdr:to>
      <xdr:col>19</xdr:col>
      <xdr:colOff>95353</xdr:colOff>
      <xdr:row>46</xdr:row>
      <xdr:rowOff>15289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5129D0B9-720E-4871-B8E0-E9A21DF029D8}"/>
            </a:ext>
          </a:extLst>
        </xdr:cNvPr>
        <xdr:cNvSpPr/>
      </xdr:nvSpPr>
      <xdr:spPr>
        <a:xfrm>
          <a:off x="4695156" y="7641781"/>
          <a:ext cx="1841002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54096</xdr:colOff>
      <xdr:row>47</xdr:row>
      <xdr:rowOff>39934</xdr:rowOff>
    </xdr:from>
    <xdr:to>
      <xdr:col>7</xdr:col>
      <xdr:colOff>283209</xdr:colOff>
      <xdr:row>48</xdr:row>
      <xdr:rowOff>92709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034C399B-C159-4822-8DB0-3994CC802B32}"/>
            </a:ext>
          </a:extLst>
        </xdr:cNvPr>
        <xdr:cNvSpPr/>
      </xdr:nvSpPr>
      <xdr:spPr>
        <a:xfrm>
          <a:off x="560826" y="7987594"/>
          <a:ext cx="2248413" cy="231845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58541</xdr:colOff>
      <xdr:row>44</xdr:row>
      <xdr:rowOff>58954</xdr:rowOff>
    </xdr:from>
    <xdr:to>
      <xdr:col>7</xdr:col>
      <xdr:colOff>266700</xdr:colOff>
      <xdr:row>46</xdr:row>
      <xdr:rowOff>18415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333AB9C1-4AF6-43E0-B28F-5235E5018E39}"/>
            </a:ext>
          </a:extLst>
        </xdr:cNvPr>
        <xdr:cNvSpPr/>
      </xdr:nvSpPr>
      <xdr:spPr>
        <a:xfrm>
          <a:off x="559556" y="7659904"/>
          <a:ext cx="2236984" cy="235686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400"/>
        </a:p>
      </xdr:txBody>
    </xdr:sp>
    <xdr:clientData/>
  </xdr:twoCellAnchor>
  <xdr:twoCellAnchor editAs="absolute">
    <xdr:from>
      <xdr:col>1</xdr:col>
      <xdr:colOff>95250</xdr:colOff>
      <xdr:row>44</xdr:row>
      <xdr:rowOff>94053</xdr:rowOff>
    </xdr:from>
    <xdr:to>
      <xdr:col>6</xdr:col>
      <xdr:colOff>1678</xdr:colOff>
      <xdr:row>46</xdr:row>
      <xdr:rowOff>22785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BE7D7974-1089-4370-9C0A-6B5B41ACA480}"/>
            </a:ext>
          </a:extLst>
        </xdr:cNvPr>
        <xdr:cNvSpPr/>
      </xdr:nvSpPr>
      <xdr:spPr>
        <a:xfrm>
          <a:off x="596265" y="7704528"/>
          <a:ext cx="1840003" cy="185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TOTALES:</a:t>
          </a:r>
        </a:p>
      </xdr:txBody>
    </xdr:sp>
    <xdr:clientData/>
  </xdr:twoCellAnchor>
  <xdr:twoCellAnchor editAs="absolute">
    <xdr:from>
      <xdr:col>1</xdr:col>
      <xdr:colOff>39371</xdr:colOff>
      <xdr:row>47</xdr:row>
      <xdr:rowOff>59527</xdr:rowOff>
    </xdr:from>
    <xdr:to>
      <xdr:col>5</xdr:col>
      <xdr:colOff>549684</xdr:colOff>
      <xdr:row>48</xdr:row>
      <xdr:rowOff>59386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685E4B3B-317B-4A27-B56B-DAD0313C135F}"/>
            </a:ext>
          </a:extLst>
        </xdr:cNvPr>
        <xdr:cNvSpPr/>
      </xdr:nvSpPr>
      <xdr:spPr>
        <a:xfrm>
          <a:off x="549911" y="8010997"/>
          <a:ext cx="1840003" cy="1751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 A PAGAR:</a:t>
          </a:r>
        </a:p>
      </xdr:txBody>
    </xdr:sp>
    <xdr:clientData/>
  </xdr:twoCellAnchor>
  <xdr:twoCellAnchor editAs="absolute">
    <xdr:from>
      <xdr:col>9</xdr:col>
      <xdr:colOff>19897</xdr:colOff>
      <xdr:row>47</xdr:row>
      <xdr:rowOff>21727</xdr:rowOff>
    </xdr:from>
    <xdr:to>
      <xdr:col>19</xdr:col>
      <xdr:colOff>72390</xdr:colOff>
      <xdr:row>48</xdr:row>
      <xdr:rowOff>54607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49ABCE9F-B817-4688-ABF7-968CE987B067}"/>
            </a:ext>
          </a:extLst>
        </xdr:cNvPr>
        <xdr:cNvSpPr/>
      </xdr:nvSpPr>
      <xdr:spPr>
        <a:xfrm>
          <a:off x="3132667" y="7965577"/>
          <a:ext cx="3393863" cy="20814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-=</a:t>
          </a:r>
        </a:p>
      </xdr:txBody>
    </xdr:sp>
    <xdr:clientData/>
  </xdr:twoCellAnchor>
  <xdr:twoCellAnchor editAs="absolute">
    <xdr:from>
      <xdr:col>1</xdr:col>
      <xdr:colOff>1838</xdr:colOff>
      <xdr:row>7</xdr:row>
      <xdr:rowOff>20828</xdr:rowOff>
    </xdr:from>
    <xdr:to>
      <xdr:col>2</xdr:col>
      <xdr:colOff>34290</xdr:colOff>
      <xdr:row>8</xdr:row>
      <xdr:rowOff>3201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3BB3EA9A-F14C-4947-8408-03A7B62D08C2}"/>
            </a:ext>
          </a:extLst>
        </xdr:cNvPr>
        <xdr:cNvSpPr/>
      </xdr:nvSpPr>
      <xdr:spPr>
        <a:xfrm>
          <a:off x="512378" y="1409573"/>
          <a:ext cx="520132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1837</xdr:colOff>
      <xdr:row>8</xdr:row>
      <xdr:rowOff>56198</xdr:rowOff>
    </xdr:from>
    <xdr:to>
      <xdr:col>3</xdr:col>
      <xdr:colOff>93662</xdr:colOff>
      <xdr:row>8</xdr:row>
      <xdr:rowOff>173831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E435699D-B5EC-412C-99DF-6DC8D102C2CC}"/>
            </a:ext>
          </a:extLst>
        </xdr:cNvPr>
        <xdr:cNvSpPr/>
      </xdr:nvSpPr>
      <xdr:spPr>
        <a:xfrm>
          <a:off x="512377" y="1675448"/>
          <a:ext cx="771910" cy="13287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NOMBRE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1838</xdr:colOff>
      <xdr:row>9</xdr:row>
      <xdr:rowOff>55731</xdr:rowOff>
    </xdr:from>
    <xdr:to>
      <xdr:col>5</xdr:col>
      <xdr:colOff>96066</xdr:colOff>
      <xdr:row>10</xdr:row>
      <xdr:rowOff>3602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D507B539-B1DA-4B9B-BE63-A23096AF3BF1}"/>
            </a:ext>
          </a:extLst>
        </xdr:cNvPr>
        <xdr:cNvSpPr/>
      </xdr:nvSpPr>
      <xdr:spPr>
        <a:xfrm>
          <a:off x="512378" y="1894056"/>
          <a:ext cx="1416298" cy="15170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FECHA DE INGRESO:</a:t>
          </a:r>
        </a:p>
      </xdr:txBody>
    </xdr:sp>
    <xdr:clientData/>
  </xdr:twoCellAnchor>
  <xdr:twoCellAnchor editAs="absolute">
    <xdr:from>
      <xdr:col>1</xdr:col>
      <xdr:colOff>1838</xdr:colOff>
      <xdr:row>10</xdr:row>
      <xdr:rowOff>54932</xdr:rowOff>
    </xdr:from>
    <xdr:to>
      <xdr:col>3</xdr:col>
      <xdr:colOff>2993</xdr:colOff>
      <xdr:row>11</xdr:row>
      <xdr:rowOff>1110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D89BDA08-69D6-463D-A090-389D1BA14978}"/>
            </a:ext>
          </a:extLst>
        </xdr:cNvPr>
        <xdr:cNvSpPr/>
      </xdr:nvSpPr>
      <xdr:spPr>
        <a:xfrm>
          <a:off x="512378" y="2093282"/>
          <a:ext cx="671715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CARGO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15240</xdr:colOff>
      <xdr:row>12</xdr:row>
      <xdr:rowOff>17145</xdr:rowOff>
    </xdr:from>
    <xdr:to>
      <xdr:col>6</xdr:col>
      <xdr:colOff>1601</xdr:colOff>
      <xdr:row>13</xdr:row>
      <xdr:rowOff>320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BBE0D8A1-1CA9-4F43-9212-D406D3B56D31}"/>
            </a:ext>
          </a:extLst>
        </xdr:cNvPr>
        <xdr:cNvSpPr/>
      </xdr:nvSpPr>
      <xdr:spPr>
        <a:xfrm>
          <a:off x="514350" y="2604135"/>
          <a:ext cx="1898981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TRABAJADOS:</a:t>
          </a:r>
        </a:p>
      </xdr:txBody>
    </xdr:sp>
    <xdr:clientData/>
  </xdr:twoCellAnchor>
  <xdr:twoCellAnchor editAs="absolute">
    <xdr:from>
      <xdr:col>7</xdr:col>
      <xdr:colOff>17962</xdr:colOff>
      <xdr:row>12</xdr:row>
      <xdr:rowOff>17145</xdr:rowOff>
    </xdr:from>
    <xdr:to>
      <xdr:col>13</xdr:col>
      <xdr:colOff>15979</xdr:colOff>
      <xdr:row>13</xdr:row>
      <xdr:rowOff>320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B1D3CB91-B6B2-4DD3-8D16-FCFA260C9DC4}"/>
            </a:ext>
          </a:extLst>
        </xdr:cNvPr>
        <xdr:cNvSpPr/>
      </xdr:nvSpPr>
      <xdr:spPr>
        <a:xfrm>
          <a:off x="2543992" y="2604135"/>
          <a:ext cx="1925877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LICENCIA:</a:t>
          </a:r>
        </a:p>
      </xdr:txBody>
    </xdr:sp>
    <xdr:clientData/>
  </xdr:twoCellAnchor>
  <xdr:twoCellAnchor editAs="absolute">
    <xdr:from>
      <xdr:col>14</xdr:col>
      <xdr:colOff>35742</xdr:colOff>
      <xdr:row>12</xdr:row>
      <xdr:rowOff>17145</xdr:rowOff>
    </xdr:from>
    <xdr:to>
      <xdr:col>18</xdr:col>
      <xdr:colOff>416982</xdr:colOff>
      <xdr:row>13</xdr:row>
      <xdr:rowOff>320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0EF1847F-E531-4519-B045-CC880A6FD26C}"/>
            </a:ext>
          </a:extLst>
        </xdr:cNvPr>
        <xdr:cNvSpPr/>
      </xdr:nvSpPr>
      <xdr:spPr>
        <a:xfrm>
          <a:off x="4592502" y="2604135"/>
          <a:ext cx="1844280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AUSENCIA:</a:t>
          </a:r>
        </a:p>
      </xdr:txBody>
    </xdr:sp>
    <xdr:clientData/>
  </xdr:twoCellAnchor>
  <xdr:twoCellAnchor editAs="absolute">
    <xdr:from>
      <xdr:col>1</xdr:col>
      <xdr:colOff>15240</xdr:colOff>
      <xdr:row>14</xdr:row>
      <xdr:rowOff>19050</xdr:rowOff>
    </xdr:from>
    <xdr:to>
      <xdr:col>6</xdr:col>
      <xdr:colOff>1601</xdr:colOff>
      <xdr:row>15</xdr:row>
      <xdr:rowOff>265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34960051-B593-4CAB-872E-F6BB0DDA7C6C}"/>
            </a:ext>
          </a:extLst>
        </xdr:cNvPr>
        <xdr:cNvSpPr/>
      </xdr:nvSpPr>
      <xdr:spPr>
        <a:xfrm>
          <a:off x="514350" y="2897505"/>
          <a:ext cx="1898981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7</xdr:col>
      <xdr:colOff>17962</xdr:colOff>
      <xdr:row>14</xdr:row>
      <xdr:rowOff>19050</xdr:rowOff>
    </xdr:from>
    <xdr:to>
      <xdr:col>13</xdr:col>
      <xdr:colOff>15979</xdr:colOff>
      <xdr:row>15</xdr:row>
      <xdr:rowOff>265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97F19C1D-CD7D-449A-B93B-ADAD74F06156}"/>
            </a:ext>
          </a:extLst>
        </xdr:cNvPr>
        <xdr:cNvSpPr/>
      </xdr:nvSpPr>
      <xdr:spPr>
        <a:xfrm>
          <a:off x="2543992" y="2897505"/>
          <a:ext cx="192587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14</xdr:col>
      <xdr:colOff>19125</xdr:colOff>
      <xdr:row>14</xdr:row>
      <xdr:rowOff>19050</xdr:rowOff>
    </xdr:from>
    <xdr:to>
      <xdr:col>18</xdr:col>
      <xdr:colOff>418887</xdr:colOff>
      <xdr:row>15</xdr:row>
      <xdr:rowOff>265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8708FB9B-EC97-4612-A48B-138785248E68}"/>
            </a:ext>
          </a:extLst>
        </xdr:cNvPr>
        <xdr:cNvSpPr/>
      </xdr:nvSpPr>
      <xdr:spPr>
        <a:xfrm>
          <a:off x="4566360" y="2897505"/>
          <a:ext cx="187232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</xdr:col>
      <xdr:colOff>15240</xdr:colOff>
      <xdr:row>16</xdr:row>
      <xdr:rowOff>169545</xdr:rowOff>
    </xdr:from>
    <xdr:to>
      <xdr:col>7</xdr:col>
      <xdr:colOff>454207</xdr:colOff>
      <xdr:row>18</xdr:row>
      <xdr:rowOff>20850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8936824C-A810-489C-8C9B-78460BFC1624}"/>
            </a:ext>
          </a:extLst>
        </xdr:cNvPr>
        <xdr:cNvSpPr/>
      </xdr:nvSpPr>
      <xdr:spPr>
        <a:xfrm>
          <a:off x="514350" y="3547110"/>
          <a:ext cx="2469697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DETALLE:</a:t>
          </a:r>
        </a:p>
      </xdr:txBody>
    </xdr:sp>
    <xdr:clientData/>
  </xdr:twoCellAnchor>
  <xdr:twoCellAnchor editAs="absolute">
    <xdr:from>
      <xdr:col>8</xdr:col>
      <xdr:colOff>78921</xdr:colOff>
      <xdr:row>16</xdr:row>
      <xdr:rowOff>169545</xdr:rowOff>
    </xdr:from>
    <xdr:to>
      <xdr:col>13</xdr:col>
      <xdr:colOff>1607</xdr:colOff>
      <xdr:row>18</xdr:row>
      <xdr:rowOff>20850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842A6922-F02B-457F-91FF-E9640BBD653A}"/>
            </a:ext>
          </a:extLst>
        </xdr:cNvPr>
        <xdr:cNvSpPr/>
      </xdr:nvSpPr>
      <xdr:spPr>
        <a:xfrm>
          <a:off x="3088821" y="3547110"/>
          <a:ext cx="1378106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HABERES:</a:t>
          </a:r>
        </a:p>
      </xdr:txBody>
    </xdr:sp>
    <xdr:clientData/>
  </xdr:twoCellAnchor>
  <xdr:twoCellAnchor editAs="absolute">
    <xdr:from>
      <xdr:col>14</xdr:col>
      <xdr:colOff>1980</xdr:colOff>
      <xdr:row>16</xdr:row>
      <xdr:rowOff>169545</xdr:rowOff>
    </xdr:from>
    <xdr:to>
      <xdr:col>19</xdr:col>
      <xdr:colOff>921</xdr:colOff>
      <xdr:row>18</xdr:row>
      <xdr:rowOff>20850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8C7878DE-E71A-4EC3-8892-CB6817D66DCC}"/>
            </a:ext>
          </a:extLst>
        </xdr:cNvPr>
        <xdr:cNvSpPr/>
      </xdr:nvSpPr>
      <xdr:spPr>
        <a:xfrm>
          <a:off x="4558740" y="3547110"/>
          <a:ext cx="1896321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DESCUENTO:</a:t>
          </a:r>
        </a:p>
      </xdr:txBody>
    </xdr:sp>
    <xdr:clientData/>
  </xdr:twoCellAnchor>
  <xdr:twoCellAnchor editAs="absolute">
    <xdr:from>
      <xdr:col>10</xdr:col>
      <xdr:colOff>110634</xdr:colOff>
      <xdr:row>7</xdr:row>
      <xdr:rowOff>20828</xdr:rowOff>
    </xdr:from>
    <xdr:to>
      <xdr:col>15</xdr:col>
      <xdr:colOff>3514</xdr:colOff>
      <xdr:row>8</xdr:row>
      <xdr:rowOff>3201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D69AA46E-5A57-4E48-8D90-EC2B25ED46C2}"/>
            </a:ext>
          </a:extLst>
        </xdr:cNvPr>
        <xdr:cNvSpPr/>
      </xdr:nvSpPr>
      <xdr:spPr>
        <a:xfrm>
          <a:off x="3501534" y="1409573"/>
          <a:ext cx="1150180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RAZÓN SOCIAL: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8</xdr:row>
      <xdr:rowOff>56838</xdr:rowOff>
    </xdr:from>
    <xdr:to>
      <xdr:col>11</xdr:col>
      <xdr:colOff>472939</xdr:colOff>
      <xdr:row>9</xdr:row>
      <xdr:rowOff>1111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9560CEDD-1BE6-4AD4-B251-FC6B1ED5FCC6}"/>
            </a:ext>
          </a:extLst>
        </xdr:cNvPr>
        <xdr:cNvSpPr/>
      </xdr:nvSpPr>
      <xdr:spPr>
        <a:xfrm>
          <a:off x="3501535" y="1693233"/>
          <a:ext cx="480414" cy="13667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9</xdr:row>
      <xdr:rowOff>60416</xdr:rowOff>
    </xdr:from>
    <xdr:to>
      <xdr:col>12</xdr:col>
      <xdr:colOff>282439</xdr:colOff>
      <xdr:row>10</xdr:row>
      <xdr:rowOff>3602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D178EFCE-1F03-46C1-8A13-85C5322A4C45}"/>
            </a:ext>
          </a:extLst>
        </xdr:cNvPr>
        <xdr:cNvSpPr/>
      </xdr:nvSpPr>
      <xdr:spPr>
        <a:xfrm>
          <a:off x="3501535" y="1896836"/>
          <a:ext cx="914754" cy="14892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DIRECCIÓN:</a:t>
          </a:r>
        </a:p>
      </xdr:txBody>
    </xdr:sp>
    <xdr:clientData/>
  </xdr:twoCellAnchor>
  <xdr:twoCellAnchor editAs="absolute">
    <xdr:from>
      <xdr:col>10</xdr:col>
      <xdr:colOff>110635</xdr:colOff>
      <xdr:row>10</xdr:row>
      <xdr:rowOff>54932</xdr:rowOff>
    </xdr:from>
    <xdr:to>
      <xdr:col>11</xdr:col>
      <xdr:colOff>608194</xdr:colOff>
      <xdr:row>11</xdr:row>
      <xdr:rowOff>1110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FD22DF09-D27A-42D3-B4C0-37173478E12F}"/>
            </a:ext>
          </a:extLst>
        </xdr:cNvPr>
        <xdr:cNvSpPr/>
      </xdr:nvSpPr>
      <xdr:spPr>
        <a:xfrm>
          <a:off x="3501535" y="2093282"/>
          <a:ext cx="611859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EMAIL: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359797</xdr:colOff>
      <xdr:row>2</xdr:row>
      <xdr:rowOff>8245</xdr:rowOff>
    </xdr:from>
    <xdr:to>
      <xdr:col>15</xdr:col>
      <xdr:colOff>302812</xdr:colOff>
      <xdr:row>2</xdr:row>
      <xdr:rowOff>181427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8BCA4DE9-AA77-45EC-9C6B-F8845980DDEC}"/>
            </a:ext>
          </a:extLst>
        </xdr:cNvPr>
        <xdr:cNvSpPr/>
      </xdr:nvSpPr>
      <xdr:spPr>
        <a:xfrm>
          <a:off x="1838077" y="374005"/>
          <a:ext cx="3120555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accent1">
                  <a:lumMod val="75000"/>
                </a:schemeClr>
              </a:solidFill>
            </a:rPr>
            <a:t>LIQUIDACIÓN DE SUELDO</a:t>
          </a:r>
          <a:r>
            <a:rPr lang="es-CL" sz="1400" b="1" baseline="0">
              <a:solidFill>
                <a:schemeClr val="accent1">
                  <a:lumMod val="75000"/>
                </a:schemeClr>
              </a:solidFill>
            </a:rPr>
            <a:t> MENSUAL</a:t>
          </a:r>
          <a:endParaRPr lang="es-CL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64976</xdr:colOff>
      <xdr:row>53</xdr:row>
      <xdr:rowOff>8250</xdr:rowOff>
    </xdr:from>
    <xdr:to>
      <xdr:col>18</xdr:col>
      <xdr:colOff>242662</xdr:colOff>
      <xdr:row>53</xdr:row>
      <xdr:rowOff>181432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BC8BF548-8DDB-49B2-82D2-50E023723EF5}"/>
            </a:ext>
          </a:extLst>
        </xdr:cNvPr>
        <xdr:cNvSpPr/>
      </xdr:nvSpPr>
      <xdr:spPr>
        <a:xfrm>
          <a:off x="4720796" y="9015090"/>
          <a:ext cx="1541666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50" b="1">
              <a:solidFill>
                <a:schemeClr val="accent1">
                  <a:lumMod val="75000"/>
                </a:schemeClr>
              </a:solidFill>
              <a:latin typeface="Raleway" panose="020B0503030101060003" pitchFamily="34" charset="0"/>
            </a:rPr>
            <a:t>FIRMA TRABAJADOR</a:t>
          </a:r>
        </a:p>
      </xdr:txBody>
    </xdr:sp>
    <xdr:clientData/>
  </xdr:twoCellAnchor>
  <xdr:twoCellAnchor>
    <xdr:from>
      <xdr:col>13</xdr:col>
      <xdr:colOff>54429</xdr:colOff>
      <xdr:row>52</xdr:row>
      <xdr:rowOff>63500</xdr:rowOff>
    </xdr:from>
    <xdr:to>
      <xdr:col>18</xdr:col>
      <xdr:colOff>411159</xdr:colOff>
      <xdr:row>52</xdr:row>
      <xdr:rowOff>63500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D6F7CFAD-C812-45A0-B495-C2F83B6FA6FB}"/>
            </a:ext>
          </a:extLst>
        </xdr:cNvPr>
        <xdr:cNvCxnSpPr/>
      </xdr:nvCxnSpPr>
      <xdr:spPr>
        <a:xfrm>
          <a:off x="4519749" y="8887460"/>
          <a:ext cx="1911210" cy="0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20107</xdr:colOff>
      <xdr:row>25</xdr:row>
      <xdr:rowOff>19687</xdr:rowOff>
    </xdr:from>
    <xdr:to>
      <xdr:col>7</xdr:col>
      <xdr:colOff>399415</xdr:colOff>
      <xdr:row>26</xdr:row>
      <xdr:rowOff>17357</xdr:rowOff>
    </xdr:to>
    <xdr:sp macro="" textlink="">
      <xdr:nvSpPr>
        <xdr:cNvPr id="53" name="Shape 19">
          <a:extLst>
            <a:ext uri="{FF2B5EF4-FFF2-40B4-BE49-F238E27FC236}">
              <a16:creationId xmlns:a16="http://schemas.microsoft.com/office/drawing/2014/main" id="{3BCEFA23-CC58-42FF-A104-8488939903B4}"/>
            </a:ext>
          </a:extLst>
        </xdr:cNvPr>
        <xdr:cNvSpPr/>
      </xdr:nvSpPr>
      <xdr:spPr>
        <a:xfrm>
          <a:off x="521122" y="4785997"/>
          <a:ext cx="2421468" cy="2034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317</xdr:colOff>
      <xdr:row>25</xdr:row>
      <xdr:rowOff>16722</xdr:rowOff>
    </xdr:from>
    <xdr:to>
      <xdr:col>13</xdr:col>
      <xdr:colOff>2540</xdr:colOff>
      <xdr:row>25</xdr:row>
      <xdr:rowOff>189549</xdr:rowOff>
    </xdr:to>
    <xdr:sp macro="" textlink="">
      <xdr:nvSpPr>
        <xdr:cNvPr id="54" name="Shape 19">
          <a:extLst>
            <a:ext uri="{FF2B5EF4-FFF2-40B4-BE49-F238E27FC236}">
              <a16:creationId xmlns:a16="http://schemas.microsoft.com/office/drawing/2014/main" id="{B82801AD-24D6-4D8B-AEBD-90AAD97D45FD}"/>
            </a:ext>
          </a:extLst>
        </xdr:cNvPr>
        <xdr:cNvSpPr/>
      </xdr:nvSpPr>
      <xdr:spPr>
        <a:xfrm>
          <a:off x="3105467" y="4775412"/>
          <a:ext cx="1362393" cy="18425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73550</xdr:colOff>
      <xdr:row>25</xdr:row>
      <xdr:rowOff>17357</xdr:rowOff>
    </xdr:from>
    <xdr:to>
      <xdr:col>19</xdr:col>
      <xdr:colOff>20528</xdr:colOff>
      <xdr:row>26</xdr:row>
      <xdr:rowOff>18219</xdr:rowOff>
    </xdr:to>
    <xdr:sp macro="" textlink="">
      <xdr:nvSpPr>
        <xdr:cNvPr id="55" name="Shape 19">
          <a:extLst>
            <a:ext uri="{FF2B5EF4-FFF2-40B4-BE49-F238E27FC236}">
              <a16:creationId xmlns:a16="http://schemas.microsoft.com/office/drawing/2014/main" id="{72858C98-85C5-49DF-97F1-94AE7A7CE01D}"/>
            </a:ext>
          </a:extLst>
        </xdr:cNvPr>
        <xdr:cNvSpPr/>
      </xdr:nvSpPr>
      <xdr:spPr>
        <a:xfrm>
          <a:off x="4630310" y="4791287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55563</xdr:colOff>
      <xdr:row>1</xdr:row>
      <xdr:rowOff>79377</xdr:rowOff>
    </xdr:from>
    <xdr:to>
      <xdr:col>5</xdr:col>
      <xdr:colOff>148593</xdr:colOff>
      <xdr:row>3</xdr:row>
      <xdr:rowOff>136210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79BC704E-2AA5-4606-BDAE-A2E4D6F09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03" y="262257"/>
          <a:ext cx="1418910" cy="494983"/>
        </a:xfrm>
        <a:prstGeom prst="rect">
          <a:avLst/>
        </a:prstGeom>
      </xdr:spPr>
    </xdr:pic>
    <xdr:clientData/>
  </xdr:twoCellAnchor>
  <xdr:twoCellAnchor editAs="absolute">
    <xdr:from>
      <xdr:col>1</xdr:col>
      <xdr:colOff>17356</xdr:colOff>
      <xdr:row>26</xdr:row>
      <xdr:rowOff>59690</xdr:rowOff>
    </xdr:from>
    <xdr:to>
      <xdr:col>7</xdr:col>
      <xdr:colOff>434764</xdr:colOff>
      <xdr:row>27</xdr:row>
      <xdr:rowOff>173776</xdr:rowOff>
    </xdr:to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55A2E1B9-C424-4A6A-9103-6F1917C49CCD}"/>
            </a:ext>
          </a:extLst>
        </xdr:cNvPr>
        <xdr:cNvSpPr/>
      </xdr:nvSpPr>
      <xdr:spPr>
        <a:xfrm>
          <a:off x="531706" y="503174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59691</xdr:colOff>
      <xdr:row>27</xdr:row>
      <xdr:rowOff>0</xdr:rowOff>
    </xdr:from>
    <xdr:to>
      <xdr:col>13</xdr:col>
      <xdr:colOff>531</xdr:colOff>
      <xdr:row>28</xdr:row>
      <xdr:rowOff>20108</xdr:rowOff>
    </xdr:to>
    <xdr:sp macro="" textlink="">
      <xdr:nvSpPr>
        <xdr:cNvPr id="58" name="Shape 19">
          <a:extLst>
            <a:ext uri="{FF2B5EF4-FFF2-40B4-BE49-F238E27FC236}">
              <a16:creationId xmlns:a16="http://schemas.microsoft.com/office/drawing/2014/main" id="{7C27CE6B-B82C-4E2A-AEC6-DB43A68BA85E}"/>
            </a:ext>
          </a:extLst>
        </xdr:cNvPr>
        <xdr:cNvSpPr/>
      </xdr:nvSpPr>
      <xdr:spPr>
        <a:xfrm>
          <a:off x="3073401" y="504444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74084</xdr:colOff>
      <xdr:row>27</xdr:row>
      <xdr:rowOff>0</xdr:rowOff>
    </xdr:from>
    <xdr:to>
      <xdr:col>19</xdr:col>
      <xdr:colOff>21062</xdr:colOff>
      <xdr:row>28</xdr:row>
      <xdr:rowOff>862</xdr:rowOff>
    </xdr:to>
    <xdr:sp macro="" textlink="">
      <xdr:nvSpPr>
        <xdr:cNvPr id="59" name="Shape 19">
          <a:extLst>
            <a:ext uri="{FF2B5EF4-FFF2-40B4-BE49-F238E27FC236}">
              <a16:creationId xmlns:a16="http://schemas.microsoft.com/office/drawing/2014/main" id="{D7E07168-4EB0-423A-AE5B-0CC87DCC4474}"/>
            </a:ext>
          </a:extLst>
        </xdr:cNvPr>
        <xdr:cNvSpPr/>
      </xdr:nvSpPr>
      <xdr:spPr>
        <a:xfrm>
          <a:off x="4630844" y="504444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29</xdr:row>
      <xdr:rowOff>0</xdr:rowOff>
    </xdr:from>
    <xdr:to>
      <xdr:col>7</xdr:col>
      <xdr:colOff>398358</xdr:colOff>
      <xdr:row>30</xdr:row>
      <xdr:rowOff>1056</xdr:rowOff>
    </xdr:to>
    <xdr:sp macro="" textlink="">
      <xdr:nvSpPr>
        <xdr:cNvPr id="60" name="Shape 19">
          <a:extLst>
            <a:ext uri="{FF2B5EF4-FFF2-40B4-BE49-F238E27FC236}">
              <a16:creationId xmlns:a16="http://schemas.microsoft.com/office/drawing/2014/main" id="{EC713CAF-E902-4644-A8FE-05920E2880A5}"/>
            </a:ext>
          </a:extLst>
        </xdr:cNvPr>
        <xdr:cNvSpPr/>
      </xdr:nvSpPr>
      <xdr:spPr>
        <a:xfrm>
          <a:off x="510540" y="529590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29</xdr:row>
      <xdr:rowOff>0</xdr:rowOff>
    </xdr:from>
    <xdr:to>
      <xdr:col>13</xdr:col>
      <xdr:colOff>36090</xdr:colOff>
      <xdr:row>30</xdr:row>
      <xdr:rowOff>20108</xdr:rowOff>
    </xdr:to>
    <xdr:sp macro="" textlink="">
      <xdr:nvSpPr>
        <xdr:cNvPr id="61" name="Shape 19">
          <a:extLst>
            <a:ext uri="{FF2B5EF4-FFF2-40B4-BE49-F238E27FC236}">
              <a16:creationId xmlns:a16="http://schemas.microsoft.com/office/drawing/2014/main" id="{D27FCBB7-181A-48B5-B091-86317586AEF1}"/>
            </a:ext>
          </a:extLst>
        </xdr:cNvPr>
        <xdr:cNvSpPr/>
      </xdr:nvSpPr>
      <xdr:spPr>
        <a:xfrm>
          <a:off x="3108960" y="52959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20108</xdr:colOff>
      <xdr:row>29</xdr:row>
      <xdr:rowOff>0</xdr:rowOff>
    </xdr:from>
    <xdr:to>
      <xdr:col>19</xdr:col>
      <xdr:colOff>56621</xdr:colOff>
      <xdr:row>30</xdr:row>
      <xdr:rowOff>862</xdr:rowOff>
    </xdr:to>
    <xdr:sp macro="" textlink="">
      <xdr:nvSpPr>
        <xdr:cNvPr id="62" name="Shape 19">
          <a:extLst>
            <a:ext uri="{FF2B5EF4-FFF2-40B4-BE49-F238E27FC236}">
              <a16:creationId xmlns:a16="http://schemas.microsoft.com/office/drawing/2014/main" id="{7FDB2419-861E-4836-B079-22099DD4EE7E}"/>
            </a:ext>
          </a:extLst>
        </xdr:cNvPr>
        <xdr:cNvSpPr/>
      </xdr:nvSpPr>
      <xdr:spPr>
        <a:xfrm>
          <a:off x="4666403" y="529590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31</xdr:row>
      <xdr:rowOff>0</xdr:rowOff>
    </xdr:from>
    <xdr:to>
      <xdr:col>7</xdr:col>
      <xdr:colOff>398358</xdr:colOff>
      <xdr:row>32</xdr:row>
      <xdr:rowOff>1056</xdr:rowOff>
    </xdr:to>
    <xdr:sp macro="" textlink="">
      <xdr:nvSpPr>
        <xdr:cNvPr id="63" name="Shape 19">
          <a:extLst>
            <a:ext uri="{FF2B5EF4-FFF2-40B4-BE49-F238E27FC236}">
              <a16:creationId xmlns:a16="http://schemas.microsoft.com/office/drawing/2014/main" id="{BBA53E79-5B12-45F2-B8E7-3530098A3CAE}"/>
            </a:ext>
          </a:extLst>
        </xdr:cNvPr>
        <xdr:cNvSpPr/>
      </xdr:nvSpPr>
      <xdr:spPr>
        <a:xfrm>
          <a:off x="510540" y="560070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31</xdr:row>
      <xdr:rowOff>0</xdr:rowOff>
    </xdr:from>
    <xdr:to>
      <xdr:col>13</xdr:col>
      <xdr:colOff>36090</xdr:colOff>
      <xdr:row>32</xdr:row>
      <xdr:rowOff>20108</xdr:rowOff>
    </xdr:to>
    <xdr:sp macro="" textlink="">
      <xdr:nvSpPr>
        <xdr:cNvPr id="64" name="Shape 19">
          <a:extLst>
            <a:ext uri="{FF2B5EF4-FFF2-40B4-BE49-F238E27FC236}">
              <a16:creationId xmlns:a16="http://schemas.microsoft.com/office/drawing/2014/main" id="{CDC9FF5C-AE53-463D-9C02-8A5B004B6E86}"/>
            </a:ext>
          </a:extLst>
        </xdr:cNvPr>
        <xdr:cNvSpPr/>
      </xdr:nvSpPr>
      <xdr:spPr>
        <a:xfrm>
          <a:off x="3108960" y="56007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0</xdr:colOff>
      <xdr:row>31</xdr:row>
      <xdr:rowOff>0</xdr:rowOff>
    </xdr:from>
    <xdr:to>
      <xdr:col>19</xdr:col>
      <xdr:colOff>53658</xdr:colOff>
      <xdr:row>32</xdr:row>
      <xdr:rowOff>862</xdr:rowOff>
    </xdr:to>
    <xdr:sp macro="" textlink="">
      <xdr:nvSpPr>
        <xdr:cNvPr id="65" name="Shape 19">
          <a:extLst>
            <a:ext uri="{FF2B5EF4-FFF2-40B4-BE49-F238E27FC236}">
              <a16:creationId xmlns:a16="http://schemas.microsoft.com/office/drawing/2014/main" id="{7C086819-D74A-4F89-8434-F562CBEB213F}"/>
            </a:ext>
          </a:extLst>
        </xdr:cNvPr>
        <xdr:cNvSpPr/>
      </xdr:nvSpPr>
      <xdr:spPr>
        <a:xfrm>
          <a:off x="4655820" y="560070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500063</xdr:colOff>
      <xdr:row>55</xdr:row>
      <xdr:rowOff>174625</xdr:rowOff>
    </xdr:from>
    <xdr:to>
      <xdr:col>19</xdr:col>
      <xdr:colOff>113770</xdr:colOff>
      <xdr:row>62</xdr:row>
      <xdr:rowOff>143396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2EF38C-0702-4A15-BAEF-41B84816F6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6"/>
        <a:stretch/>
      </xdr:blipFill>
      <xdr:spPr>
        <a:xfrm>
          <a:off x="500063" y="9181465"/>
          <a:ext cx="6067847" cy="124893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83685</xdr:colOff>
      <xdr:row>12</xdr:row>
      <xdr:rowOff>36880</xdr:rowOff>
    </xdr:from>
    <xdr:to>
      <xdr:col>12</xdr:col>
      <xdr:colOff>209097</xdr:colOff>
      <xdr:row>12</xdr:row>
      <xdr:rowOff>239482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F66E324-C93A-48C7-8CB0-0B2D91E45D12}"/>
            </a:ext>
          </a:extLst>
        </xdr:cNvPr>
        <xdr:cNvSpPr/>
      </xdr:nvSpPr>
      <xdr:spPr>
        <a:xfrm>
          <a:off x="2613525" y="2627680"/>
          <a:ext cx="1740852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LICENCIA</a:t>
          </a:r>
        </a:p>
      </xdr:txBody>
    </xdr:sp>
    <xdr:clientData/>
  </xdr:twoCellAnchor>
  <xdr:twoCellAnchor editAs="absolute">
    <xdr:from>
      <xdr:col>14</xdr:col>
      <xdr:colOff>88130</xdr:colOff>
      <xdr:row>12</xdr:row>
      <xdr:rowOff>36880</xdr:rowOff>
    </xdr:from>
    <xdr:to>
      <xdr:col>18</xdr:col>
      <xdr:colOff>345305</xdr:colOff>
      <xdr:row>12</xdr:row>
      <xdr:rowOff>239482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4B109C9A-4FC5-4CC1-9DC0-D0CD74ACB5A0}"/>
            </a:ext>
          </a:extLst>
        </xdr:cNvPr>
        <xdr:cNvSpPr/>
      </xdr:nvSpPr>
      <xdr:spPr>
        <a:xfrm>
          <a:off x="4644890" y="2627680"/>
          <a:ext cx="1720215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AUSENCIA</a:t>
          </a:r>
        </a:p>
      </xdr:txBody>
    </xdr:sp>
    <xdr:clientData/>
  </xdr:twoCellAnchor>
  <xdr:twoCellAnchor editAs="absolute">
    <xdr:from>
      <xdr:col>1</xdr:col>
      <xdr:colOff>357188</xdr:colOff>
      <xdr:row>17</xdr:row>
      <xdr:rowOff>2007</xdr:rowOff>
    </xdr:from>
    <xdr:to>
      <xdr:col>7</xdr:col>
      <xdr:colOff>74160</xdr:colOff>
      <xdr:row>17</xdr:row>
      <xdr:rowOff>200567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1C68DEA-B276-48BC-8E88-57932E16D2B5}"/>
            </a:ext>
          </a:extLst>
        </xdr:cNvPr>
        <xdr:cNvSpPr/>
      </xdr:nvSpPr>
      <xdr:spPr>
        <a:xfrm>
          <a:off x="867728" y="3552927"/>
          <a:ext cx="1736272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DETALLES:</a:t>
          </a:r>
        </a:p>
      </xdr:txBody>
    </xdr:sp>
    <xdr:clientData/>
  </xdr:twoCellAnchor>
  <xdr:twoCellAnchor editAs="absolute">
    <xdr:from>
      <xdr:col>7</xdr:col>
      <xdr:colOff>369435</xdr:colOff>
      <xdr:row>17</xdr:row>
      <xdr:rowOff>407</xdr:rowOff>
    </xdr:from>
    <xdr:to>
      <xdr:col>15</xdr:col>
      <xdr:colOff>2405</xdr:colOff>
      <xdr:row>17</xdr:row>
      <xdr:rowOff>191042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F12BFD12-5223-481A-A31A-6B3F41C2BD5C}"/>
            </a:ext>
          </a:extLst>
        </xdr:cNvPr>
        <xdr:cNvSpPr/>
      </xdr:nvSpPr>
      <xdr:spPr>
        <a:xfrm>
          <a:off x="2899275" y="3549422"/>
          <a:ext cx="1758950" cy="192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HABERES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15</xdr:col>
      <xdr:colOff>2405</xdr:colOff>
      <xdr:row>17</xdr:row>
      <xdr:rowOff>2008</xdr:rowOff>
    </xdr:from>
    <xdr:to>
      <xdr:col>18</xdr:col>
      <xdr:colOff>354830</xdr:colOff>
      <xdr:row>17</xdr:row>
      <xdr:rowOff>200568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E2B9F2EF-3879-4801-9516-2E587030AB16}"/>
            </a:ext>
          </a:extLst>
        </xdr:cNvPr>
        <xdr:cNvSpPr/>
      </xdr:nvSpPr>
      <xdr:spPr>
        <a:xfrm>
          <a:off x="4658225" y="3552928"/>
          <a:ext cx="1716405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DESCUENTO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</xdr:col>
      <xdr:colOff>0</xdr:colOff>
      <xdr:row>21</xdr:row>
      <xdr:rowOff>184</xdr:rowOff>
    </xdr:from>
    <xdr:to>
      <xdr:col>7</xdr:col>
      <xdr:colOff>440872</xdr:colOff>
      <xdr:row>22</xdr:row>
      <xdr:rowOff>2271</xdr:rowOff>
    </xdr:to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2F999FDB-CDC1-41C1-AF65-E95DFB456905}"/>
            </a:ext>
          </a:extLst>
        </xdr:cNvPr>
        <xdr:cNvSpPr/>
      </xdr:nvSpPr>
      <xdr:spPr>
        <a:xfrm>
          <a:off x="510540" y="4267384"/>
          <a:ext cx="2460172" cy="20020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22298</xdr:colOff>
      <xdr:row>21</xdr:row>
      <xdr:rowOff>3542</xdr:rowOff>
    </xdr:from>
    <xdr:to>
      <xdr:col>13</xdr:col>
      <xdr:colOff>28120</xdr:colOff>
      <xdr:row>22</xdr:row>
      <xdr:rowOff>5711</xdr:rowOff>
    </xdr:to>
    <xdr:sp macro="" textlink="">
      <xdr:nvSpPr>
        <xdr:cNvPr id="9" name="Shape 19">
          <a:extLst>
            <a:ext uri="{FF2B5EF4-FFF2-40B4-BE49-F238E27FC236}">
              <a16:creationId xmlns:a16="http://schemas.microsoft.com/office/drawing/2014/main" id="{7FD9B7D5-CE32-41A6-A2F0-381541992F51}"/>
            </a:ext>
          </a:extLst>
        </xdr:cNvPr>
        <xdr:cNvSpPr/>
      </xdr:nvSpPr>
      <xdr:spPr>
        <a:xfrm>
          <a:off x="3131258" y="4270742"/>
          <a:ext cx="1362182" cy="20028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62196</xdr:colOff>
      <xdr:row>21</xdr:row>
      <xdr:rowOff>184</xdr:rowOff>
    </xdr:from>
    <xdr:to>
      <xdr:col>19</xdr:col>
      <xdr:colOff>14572</xdr:colOff>
      <xdr:row>22</xdr:row>
      <xdr:rowOff>2190</xdr:rowOff>
    </xdr:to>
    <xdr:sp macro="" textlink="">
      <xdr:nvSpPr>
        <xdr:cNvPr id="10" name="Shape 19">
          <a:extLst>
            <a:ext uri="{FF2B5EF4-FFF2-40B4-BE49-F238E27FC236}">
              <a16:creationId xmlns:a16="http://schemas.microsoft.com/office/drawing/2014/main" id="{A31D36E2-EF06-4552-86EF-0AAAA7D911A9}"/>
            </a:ext>
          </a:extLst>
        </xdr:cNvPr>
        <xdr:cNvSpPr/>
      </xdr:nvSpPr>
      <xdr:spPr>
        <a:xfrm>
          <a:off x="4618956" y="4267384"/>
          <a:ext cx="1849756" cy="2001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23</xdr:row>
      <xdr:rowOff>853</xdr:rowOff>
    </xdr:from>
    <xdr:to>
      <xdr:col>7</xdr:col>
      <xdr:colOff>440872</xdr:colOff>
      <xdr:row>24</xdr:row>
      <xdr:rowOff>1796</xdr:rowOff>
    </xdr:to>
    <xdr:sp macro="" textlink="">
      <xdr:nvSpPr>
        <xdr:cNvPr id="11" name="Shape 19">
          <a:extLst>
            <a:ext uri="{FF2B5EF4-FFF2-40B4-BE49-F238E27FC236}">
              <a16:creationId xmlns:a16="http://schemas.microsoft.com/office/drawing/2014/main" id="{873ECA06-96EC-4CB3-8BC0-CFE810000988}"/>
            </a:ext>
          </a:extLst>
        </xdr:cNvPr>
        <xdr:cNvSpPr/>
      </xdr:nvSpPr>
      <xdr:spPr>
        <a:xfrm>
          <a:off x="510540" y="4519513"/>
          <a:ext cx="2460172" cy="1990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79979</xdr:colOff>
      <xdr:row>23</xdr:row>
      <xdr:rowOff>3541</xdr:rowOff>
    </xdr:from>
    <xdr:to>
      <xdr:col>13</xdr:col>
      <xdr:colOff>14892</xdr:colOff>
      <xdr:row>24</xdr:row>
      <xdr:rowOff>5236</xdr:rowOff>
    </xdr:to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F9CE66FF-BAB7-4856-B7A2-DC4D8D73AF8D}"/>
            </a:ext>
          </a:extLst>
        </xdr:cNvPr>
        <xdr:cNvSpPr/>
      </xdr:nvSpPr>
      <xdr:spPr>
        <a:xfrm>
          <a:off x="3089879" y="4522201"/>
          <a:ext cx="1390333" cy="19981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74367</xdr:colOff>
      <xdr:row>23</xdr:row>
      <xdr:rowOff>853</xdr:rowOff>
    </xdr:from>
    <xdr:to>
      <xdr:col>19</xdr:col>
      <xdr:colOff>25155</xdr:colOff>
      <xdr:row>24</xdr:row>
      <xdr:rowOff>1715</xdr:rowOff>
    </xdr:to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9291B3E5-F4D7-49F3-968F-CA7E5B641B3A}"/>
            </a:ext>
          </a:extLst>
        </xdr:cNvPr>
        <xdr:cNvSpPr/>
      </xdr:nvSpPr>
      <xdr:spPr>
        <a:xfrm>
          <a:off x="4631127" y="4519513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12385</xdr:colOff>
      <xdr:row>35</xdr:row>
      <xdr:rowOff>22723</xdr:rowOff>
    </xdr:from>
    <xdr:to>
      <xdr:col>7</xdr:col>
      <xdr:colOff>465957</xdr:colOff>
      <xdr:row>36</xdr:row>
      <xdr:rowOff>20868</xdr:rowOff>
    </xdr:to>
    <xdr:sp macro="" textlink="">
      <xdr:nvSpPr>
        <xdr:cNvPr id="14" name="Shape 19">
          <a:extLst>
            <a:ext uri="{FF2B5EF4-FFF2-40B4-BE49-F238E27FC236}">
              <a16:creationId xmlns:a16="http://schemas.microsoft.com/office/drawing/2014/main" id="{F1CF879E-A089-44AB-8B1C-BDE11313EB67}"/>
            </a:ext>
          </a:extLst>
        </xdr:cNvPr>
        <xdr:cNvSpPr/>
      </xdr:nvSpPr>
      <xdr:spPr>
        <a:xfrm>
          <a:off x="522925" y="6324463"/>
          <a:ext cx="2482397" cy="19626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10024</xdr:colOff>
      <xdr:row>35</xdr:row>
      <xdr:rowOff>3117</xdr:rowOff>
    </xdr:from>
    <xdr:to>
      <xdr:col>13</xdr:col>
      <xdr:colOff>37012</xdr:colOff>
      <xdr:row>35</xdr:row>
      <xdr:rowOff>191602</xdr:rowOff>
    </xdr:to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C5534EDF-E77C-42B6-9334-FA4ED5562CD3}"/>
            </a:ext>
          </a:extLst>
        </xdr:cNvPr>
        <xdr:cNvSpPr/>
      </xdr:nvSpPr>
      <xdr:spPr>
        <a:xfrm>
          <a:off x="3118984" y="6304857"/>
          <a:ext cx="1383348" cy="18848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39791</xdr:colOff>
      <xdr:row>35</xdr:row>
      <xdr:rowOff>47412</xdr:rowOff>
    </xdr:from>
    <xdr:to>
      <xdr:col>19</xdr:col>
      <xdr:colOff>65794</xdr:colOff>
      <xdr:row>36</xdr:row>
      <xdr:rowOff>38144</xdr:rowOff>
    </xdr:to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7AA11692-4331-495C-A06D-74C19F17BA0F}"/>
            </a:ext>
          </a:extLst>
        </xdr:cNvPr>
        <xdr:cNvSpPr/>
      </xdr:nvSpPr>
      <xdr:spPr>
        <a:xfrm>
          <a:off x="4695611" y="6349152"/>
          <a:ext cx="1824323" cy="188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12383</xdr:colOff>
      <xdr:row>36</xdr:row>
      <xdr:rowOff>54488</xdr:rowOff>
    </xdr:from>
    <xdr:to>
      <xdr:col>7</xdr:col>
      <xdr:colOff>465955</xdr:colOff>
      <xdr:row>37</xdr:row>
      <xdr:rowOff>177536</xdr:rowOff>
    </xdr:to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C6CABA20-EF12-4D4A-978C-440D46B5EB0B}"/>
            </a:ext>
          </a:extLst>
        </xdr:cNvPr>
        <xdr:cNvSpPr/>
      </xdr:nvSpPr>
      <xdr:spPr>
        <a:xfrm>
          <a:off x="522923" y="6554348"/>
          <a:ext cx="2482397" cy="199248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76</xdr:colOff>
      <xdr:row>36</xdr:row>
      <xdr:rowOff>75933</xdr:rowOff>
    </xdr:from>
    <xdr:to>
      <xdr:col>13</xdr:col>
      <xdr:colOff>3781</xdr:colOff>
      <xdr:row>37</xdr:row>
      <xdr:rowOff>190585</xdr:rowOff>
    </xdr:to>
    <xdr:sp macro="" textlink="">
      <xdr:nvSpPr>
        <xdr:cNvPr id="18" name="Shape 19">
          <a:extLst>
            <a:ext uri="{FF2B5EF4-FFF2-40B4-BE49-F238E27FC236}">
              <a16:creationId xmlns:a16="http://schemas.microsoft.com/office/drawing/2014/main" id="{13CB31A3-8E95-4535-AD99-6AEA7D7520E2}"/>
            </a:ext>
          </a:extLst>
        </xdr:cNvPr>
        <xdr:cNvSpPr/>
      </xdr:nvSpPr>
      <xdr:spPr>
        <a:xfrm>
          <a:off x="3109036" y="6575793"/>
          <a:ext cx="1360065" cy="190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2540</xdr:colOff>
      <xdr:row>37</xdr:row>
      <xdr:rowOff>19472</xdr:rowOff>
    </xdr:from>
    <xdr:to>
      <xdr:col>19</xdr:col>
      <xdr:colOff>65798</xdr:colOff>
      <xdr:row>37</xdr:row>
      <xdr:rowOff>195345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5BA043AF-4451-4470-9B61-5D5E832B0A0E}"/>
            </a:ext>
          </a:extLst>
        </xdr:cNvPr>
        <xdr:cNvSpPr/>
      </xdr:nvSpPr>
      <xdr:spPr>
        <a:xfrm>
          <a:off x="4658360" y="6595532"/>
          <a:ext cx="1861578" cy="17587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25083</xdr:colOff>
      <xdr:row>38</xdr:row>
      <xdr:rowOff>43789</xdr:rowOff>
    </xdr:from>
    <xdr:to>
      <xdr:col>8</xdr:col>
      <xdr:colOff>8120</xdr:colOff>
      <xdr:row>39</xdr:row>
      <xdr:rowOff>182652</xdr:rowOff>
    </xdr:to>
    <xdr:sp macro="" textlink="">
      <xdr:nvSpPr>
        <xdr:cNvPr id="20" name="Shape 19">
          <a:extLst>
            <a:ext uri="{FF2B5EF4-FFF2-40B4-BE49-F238E27FC236}">
              <a16:creationId xmlns:a16="http://schemas.microsoft.com/office/drawing/2014/main" id="{674947A0-030B-4B83-88FF-C8BD4666703D}"/>
            </a:ext>
          </a:extLst>
        </xdr:cNvPr>
        <xdr:cNvSpPr/>
      </xdr:nvSpPr>
      <xdr:spPr>
        <a:xfrm>
          <a:off x="535623" y="6817969"/>
          <a:ext cx="2482397" cy="19982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26851</xdr:colOff>
      <xdr:row>39</xdr:row>
      <xdr:rowOff>27492</xdr:rowOff>
    </xdr:from>
    <xdr:to>
      <xdr:col>13</xdr:col>
      <xdr:colOff>42228</xdr:colOff>
      <xdr:row>40</xdr:row>
      <xdr:rowOff>31221</xdr:rowOff>
    </xdr:to>
    <xdr:sp macro="" textlink="">
      <xdr:nvSpPr>
        <xdr:cNvPr id="21" name="Shape 19">
          <a:extLst>
            <a:ext uri="{FF2B5EF4-FFF2-40B4-BE49-F238E27FC236}">
              <a16:creationId xmlns:a16="http://schemas.microsoft.com/office/drawing/2014/main" id="{237683FC-572E-4CA0-BA46-7C0C267993A7}"/>
            </a:ext>
          </a:extLst>
        </xdr:cNvPr>
        <xdr:cNvSpPr/>
      </xdr:nvSpPr>
      <xdr:spPr>
        <a:xfrm>
          <a:off x="3135811" y="6862632"/>
          <a:ext cx="1371737" cy="19422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2965</xdr:colOff>
      <xdr:row>39</xdr:row>
      <xdr:rowOff>7807</xdr:rowOff>
    </xdr:from>
    <xdr:to>
      <xdr:col>19</xdr:col>
      <xdr:colOff>90033</xdr:colOff>
      <xdr:row>40</xdr:row>
      <xdr:rowOff>11006</xdr:rowOff>
    </xdr:to>
    <xdr:sp macro="" textlink="">
      <xdr:nvSpPr>
        <xdr:cNvPr id="22" name="Shape 19">
          <a:extLst>
            <a:ext uri="{FF2B5EF4-FFF2-40B4-BE49-F238E27FC236}">
              <a16:creationId xmlns:a16="http://schemas.microsoft.com/office/drawing/2014/main" id="{1A7273F5-4D12-4BF0-A6E2-07D3220CB1E3}"/>
            </a:ext>
          </a:extLst>
        </xdr:cNvPr>
        <xdr:cNvSpPr/>
      </xdr:nvSpPr>
      <xdr:spPr>
        <a:xfrm>
          <a:off x="4654975" y="6842947"/>
          <a:ext cx="1889198" cy="19369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20005</xdr:colOff>
      <xdr:row>41</xdr:row>
      <xdr:rowOff>4222</xdr:rowOff>
    </xdr:from>
    <xdr:to>
      <xdr:col>8</xdr:col>
      <xdr:colOff>502</xdr:colOff>
      <xdr:row>42</xdr:row>
      <xdr:rowOff>16612</xdr:rowOff>
    </xdr:to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E313DF04-9D63-4C03-9C96-9BE1EDB39EDF}"/>
            </a:ext>
          </a:extLst>
        </xdr:cNvPr>
        <xdr:cNvSpPr/>
      </xdr:nvSpPr>
      <xdr:spPr>
        <a:xfrm>
          <a:off x="530545" y="7106062"/>
          <a:ext cx="2479857" cy="2105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34154</xdr:colOff>
      <xdr:row>41</xdr:row>
      <xdr:rowOff>19734</xdr:rowOff>
    </xdr:from>
    <xdr:to>
      <xdr:col>13</xdr:col>
      <xdr:colOff>58602</xdr:colOff>
      <xdr:row>42</xdr:row>
      <xdr:rowOff>10633</xdr:rowOff>
    </xdr:to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ED9A58F1-53F7-41E3-B6AE-61B31EEABE11}"/>
            </a:ext>
          </a:extLst>
        </xdr:cNvPr>
        <xdr:cNvSpPr/>
      </xdr:nvSpPr>
      <xdr:spPr>
        <a:xfrm>
          <a:off x="3143114" y="7121574"/>
          <a:ext cx="1380808" cy="18901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86753</xdr:colOff>
      <xdr:row>41</xdr:row>
      <xdr:rowOff>5281</xdr:rowOff>
    </xdr:from>
    <xdr:to>
      <xdr:col>19</xdr:col>
      <xdr:colOff>58178</xdr:colOff>
      <xdr:row>42</xdr:row>
      <xdr:rowOff>12087</xdr:rowOff>
    </xdr:to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51F562D8-A895-4E77-A362-B3A1BDCCDF65}"/>
            </a:ext>
          </a:extLst>
        </xdr:cNvPr>
        <xdr:cNvSpPr/>
      </xdr:nvSpPr>
      <xdr:spPr>
        <a:xfrm>
          <a:off x="4643513" y="7107121"/>
          <a:ext cx="1868805" cy="2049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82233</xdr:colOff>
      <xdr:row>46</xdr:row>
      <xdr:rowOff>29824</xdr:rowOff>
    </xdr:from>
    <xdr:to>
      <xdr:col>14</xdr:col>
      <xdr:colOff>10796</xdr:colOff>
      <xdr:row>47</xdr:row>
      <xdr:rowOff>30952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2AC8287C-602C-4E76-9676-F32CB1C74EDB}"/>
            </a:ext>
          </a:extLst>
        </xdr:cNvPr>
        <xdr:cNvSpPr/>
      </xdr:nvSpPr>
      <xdr:spPr>
        <a:xfrm>
          <a:off x="3193733" y="7999074"/>
          <a:ext cx="1370013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15</xdr:col>
      <xdr:colOff>83786</xdr:colOff>
      <xdr:row>46</xdr:row>
      <xdr:rowOff>31941</xdr:rowOff>
    </xdr:from>
    <xdr:to>
      <xdr:col>19</xdr:col>
      <xdr:colOff>126468</xdr:colOff>
      <xdr:row>47</xdr:row>
      <xdr:rowOff>33069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F7C6F944-8743-4556-9C09-57204B0F1E0E}"/>
            </a:ext>
          </a:extLst>
        </xdr:cNvPr>
        <xdr:cNvSpPr/>
      </xdr:nvSpPr>
      <xdr:spPr>
        <a:xfrm>
          <a:off x="4738336" y="8001191"/>
          <a:ext cx="1839732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0</xdr:col>
      <xdr:colOff>488436</xdr:colOff>
      <xdr:row>48</xdr:row>
      <xdr:rowOff>65334</xdr:rowOff>
    </xdr:from>
    <xdr:to>
      <xdr:col>7</xdr:col>
      <xdr:colOff>209549</xdr:colOff>
      <xdr:row>50</xdr:row>
      <xdr:rowOff>31749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366EB98D-395F-4C66-8C42-69EC6FA104C0}"/>
            </a:ext>
          </a:extLst>
        </xdr:cNvPr>
        <xdr:cNvSpPr/>
      </xdr:nvSpPr>
      <xdr:spPr>
        <a:xfrm>
          <a:off x="488436" y="8301284"/>
          <a:ext cx="2248413" cy="233115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1391</xdr:colOff>
      <xdr:row>46</xdr:row>
      <xdr:rowOff>37364</xdr:rowOff>
    </xdr:from>
    <xdr:to>
      <xdr:col>7</xdr:col>
      <xdr:colOff>215900</xdr:colOff>
      <xdr:row>48</xdr:row>
      <xdr:rowOff>6350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A22323B3-ACA4-42E9-B11E-2116DAD0AD57}"/>
            </a:ext>
          </a:extLst>
        </xdr:cNvPr>
        <xdr:cNvSpPr/>
      </xdr:nvSpPr>
      <xdr:spPr>
        <a:xfrm>
          <a:off x="506216" y="8006614"/>
          <a:ext cx="2236984" cy="235686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400"/>
        </a:p>
      </xdr:txBody>
    </xdr:sp>
    <xdr:clientData/>
  </xdr:twoCellAnchor>
  <xdr:twoCellAnchor editAs="absolute">
    <xdr:from>
      <xdr:col>0</xdr:col>
      <xdr:colOff>492125</xdr:colOff>
      <xdr:row>46</xdr:row>
      <xdr:rowOff>56588</xdr:rowOff>
    </xdr:from>
    <xdr:to>
      <xdr:col>5</xdr:col>
      <xdr:colOff>498248</xdr:colOff>
      <xdr:row>47</xdr:row>
      <xdr:rowOff>13895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760650E-21C1-4737-A6B0-2017F9FC86B7}"/>
            </a:ext>
          </a:extLst>
        </xdr:cNvPr>
        <xdr:cNvSpPr/>
      </xdr:nvSpPr>
      <xdr:spPr>
        <a:xfrm>
          <a:off x="492125" y="8025838"/>
          <a:ext cx="1841273" cy="185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TOTALES:</a:t>
          </a:r>
        </a:p>
      </xdr:txBody>
    </xdr:sp>
    <xdr:clientData/>
  </xdr:twoCellAnchor>
  <xdr:twoCellAnchor editAs="absolute">
    <xdr:from>
      <xdr:col>0</xdr:col>
      <xdr:colOff>477521</xdr:colOff>
      <xdr:row>48</xdr:row>
      <xdr:rowOff>63337</xdr:rowOff>
    </xdr:from>
    <xdr:to>
      <xdr:col>5</xdr:col>
      <xdr:colOff>483644</xdr:colOff>
      <xdr:row>49</xdr:row>
      <xdr:rowOff>157176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D8237413-A2E5-47C8-A8B5-12FF06DB6CF0}"/>
            </a:ext>
          </a:extLst>
        </xdr:cNvPr>
        <xdr:cNvSpPr/>
      </xdr:nvSpPr>
      <xdr:spPr>
        <a:xfrm>
          <a:off x="477521" y="8299287"/>
          <a:ext cx="1841273" cy="1763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 A PAGAR:</a:t>
          </a:r>
        </a:p>
      </xdr:txBody>
    </xdr:sp>
    <xdr:clientData/>
  </xdr:twoCellAnchor>
  <xdr:twoCellAnchor editAs="absolute">
    <xdr:from>
      <xdr:col>9</xdr:col>
      <xdr:colOff>74507</xdr:colOff>
      <xdr:row>48</xdr:row>
      <xdr:rowOff>75067</xdr:rowOff>
    </xdr:from>
    <xdr:to>
      <xdr:col>19</xdr:col>
      <xdr:colOff>123190</xdr:colOff>
      <xdr:row>50</xdr:row>
      <xdr:rowOff>17777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F56DFB4B-C463-4DFA-814D-0E08AA510387}"/>
            </a:ext>
          </a:extLst>
        </xdr:cNvPr>
        <xdr:cNvSpPr/>
      </xdr:nvSpPr>
      <xdr:spPr>
        <a:xfrm>
          <a:off x="3186007" y="8311017"/>
          <a:ext cx="3388783" cy="20941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-=</a:t>
          </a:r>
        </a:p>
      </xdr:txBody>
    </xdr:sp>
    <xdr:clientData/>
  </xdr:twoCellAnchor>
  <xdr:twoCellAnchor editAs="absolute">
    <xdr:from>
      <xdr:col>1</xdr:col>
      <xdr:colOff>1838</xdr:colOff>
      <xdr:row>7</xdr:row>
      <xdr:rowOff>7493</xdr:rowOff>
    </xdr:from>
    <xdr:to>
      <xdr:col>2</xdr:col>
      <xdr:colOff>34290</xdr:colOff>
      <xdr:row>7</xdr:row>
      <xdr:rowOff>186081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D467B052-0CD7-42F5-AF3C-FF45880ED4F3}"/>
            </a:ext>
          </a:extLst>
        </xdr:cNvPr>
        <xdr:cNvSpPr/>
      </xdr:nvSpPr>
      <xdr:spPr>
        <a:xfrm>
          <a:off x="512378" y="1409573"/>
          <a:ext cx="520132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1837</xdr:colOff>
      <xdr:row>8</xdr:row>
      <xdr:rowOff>52388</xdr:rowOff>
    </xdr:from>
    <xdr:to>
      <xdr:col>3</xdr:col>
      <xdr:colOff>103187</xdr:colOff>
      <xdr:row>8</xdr:row>
      <xdr:rowOff>185261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ABD49730-75EC-4839-A386-4DF252683567}"/>
            </a:ext>
          </a:extLst>
        </xdr:cNvPr>
        <xdr:cNvSpPr/>
      </xdr:nvSpPr>
      <xdr:spPr>
        <a:xfrm>
          <a:off x="512377" y="1675448"/>
          <a:ext cx="771910" cy="13287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NOMBRE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1838</xdr:colOff>
      <xdr:row>9</xdr:row>
      <xdr:rowOff>65256</xdr:rowOff>
    </xdr:from>
    <xdr:to>
      <xdr:col>5</xdr:col>
      <xdr:colOff>92256</xdr:colOff>
      <xdr:row>10</xdr:row>
      <xdr:rowOff>3602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F9238009-BC80-40B8-841B-BD2477DC88E8}"/>
            </a:ext>
          </a:extLst>
        </xdr:cNvPr>
        <xdr:cNvSpPr/>
      </xdr:nvSpPr>
      <xdr:spPr>
        <a:xfrm>
          <a:off x="512378" y="1894056"/>
          <a:ext cx="1416298" cy="15170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FECHA DE INGRESO:</a:t>
          </a:r>
        </a:p>
      </xdr:txBody>
    </xdr:sp>
    <xdr:clientData/>
  </xdr:twoCellAnchor>
  <xdr:twoCellAnchor editAs="absolute">
    <xdr:from>
      <xdr:col>1</xdr:col>
      <xdr:colOff>1838</xdr:colOff>
      <xdr:row>10</xdr:row>
      <xdr:rowOff>51122</xdr:rowOff>
    </xdr:from>
    <xdr:to>
      <xdr:col>3</xdr:col>
      <xdr:colOff>2993</xdr:colOff>
      <xdr:row>11</xdr:row>
      <xdr:rowOff>1110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1EED6FAE-C88C-4F19-8062-7D7332F81459}"/>
            </a:ext>
          </a:extLst>
        </xdr:cNvPr>
        <xdr:cNvSpPr/>
      </xdr:nvSpPr>
      <xdr:spPr>
        <a:xfrm>
          <a:off x="512378" y="2093282"/>
          <a:ext cx="671715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CARGO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3810</xdr:colOff>
      <xdr:row>12</xdr:row>
      <xdr:rowOff>13335</xdr:rowOff>
    </xdr:from>
    <xdr:to>
      <xdr:col>5</xdr:col>
      <xdr:colOff>576911</xdr:colOff>
      <xdr:row>13</xdr:row>
      <xdr:rowOff>320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7FD6E6D2-30AD-4EC4-A5FF-DC2769DC59B0}"/>
            </a:ext>
          </a:extLst>
        </xdr:cNvPr>
        <xdr:cNvSpPr/>
      </xdr:nvSpPr>
      <xdr:spPr>
        <a:xfrm>
          <a:off x="514350" y="2604135"/>
          <a:ext cx="1898981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TRABAJADOS:</a:t>
          </a:r>
        </a:p>
      </xdr:txBody>
    </xdr:sp>
    <xdr:clientData/>
  </xdr:twoCellAnchor>
  <xdr:twoCellAnchor editAs="absolute">
    <xdr:from>
      <xdr:col>7</xdr:col>
      <xdr:colOff>14152</xdr:colOff>
      <xdr:row>12</xdr:row>
      <xdr:rowOff>13335</xdr:rowOff>
    </xdr:from>
    <xdr:to>
      <xdr:col>13</xdr:col>
      <xdr:colOff>4549</xdr:colOff>
      <xdr:row>13</xdr:row>
      <xdr:rowOff>320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931AFB45-5477-44B8-AE1B-4C832844C11F}"/>
            </a:ext>
          </a:extLst>
        </xdr:cNvPr>
        <xdr:cNvSpPr/>
      </xdr:nvSpPr>
      <xdr:spPr>
        <a:xfrm>
          <a:off x="2543992" y="2604135"/>
          <a:ext cx="1925877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LICENCIA:</a:t>
          </a:r>
        </a:p>
      </xdr:txBody>
    </xdr:sp>
    <xdr:clientData/>
  </xdr:twoCellAnchor>
  <xdr:twoCellAnchor editAs="absolute">
    <xdr:from>
      <xdr:col>14</xdr:col>
      <xdr:colOff>35742</xdr:colOff>
      <xdr:row>12</xdr:row>
      <xdr:rowOff>13335</xdr:rowOff>
    </xdr:from>
    <xdr:to>
      <xdr:col>18</xdr:col>
      <xdr:colOff>416982</xdr:colOff>
      <xdr:row>13</xdr:row>
      <xdr:rowOff>320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5EEC1DD7-7B01-435E-95F1-EC5176A9192D}"/>
            </a:ext>
          </a:extLst>
        </xdr:cNvPr>
        <xdr:cNvSpPr/>
      </xdr:nvSpPr>
      <xdr:spPr>
        <a:xfrm>
          <a:off x="4592502" y="2604135"/>
          <a:ext cx="1844280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AUSENCIA:</a:t>
          </a:r>
        </a:p>
      </xdr:txBody>
    </xdr:sp>
    <xdr:clientData/>
  </xdr:twoCellAnchor>
  <xdr:twoCellAnchor editAs="absolute">
    <xdr:from>
      <xdr:col>1</xdr:col>
      <xdr:colOff>3810</xdr:colOff>
      <xdr:row>14</xdr:row>
      <xdr:rowOff>9525</xdr:rowOff>
    </xdr:from>
    <xdr:to>
      <xdr:col>5</xdr:col>
      <xdr:colOff>576911</xdr:colOff>
      <xdr:row>15</xdr:row>
      <xdr:rowOff>265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7D559C6C-C6A8-48F9-B6FF-7408A2A6B403}"/>
            </a:ext>
          </a:extLst>
        </xdr:cNvPr>
        <xdr:cNvSpPr/>
      </xdr:nvSpPr>
      <xdr:spPr>
        <a:xfrm>
          <a:off x="514350" y="2897505"/>
          <a:ext cx="1898981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7</xdr:col>
      <xdr:colOff>14152</xdr:colOff>
      <xdr:row>14</xdr:row>
      <xdr:rowOff>9525</xdr:rowOff>
    </xdr:from>
    <xdr:to>
      <xdr:col>13</xdr:col>
      <xdr:colOff>4549</xdr:colOff>
      <xdr:row>15</xdr:row>
      <xdr:rowOff>265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CB5EE6EC-7136-48CE-8BE5-6148800653F6}"/>
            </a:ext>
          </a:extLst>
        </xdr:cNvPr>
        <xdr:cNvSpPr/>
      </xdr:nvSpPr>
      <xdr:spPr>
        <a:xfrm>
          <a:off x="2543992" y="2897505"/>
          <a:ext cx="192587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14</xdr:col>
      <xdr:colOff>9600</xdr:colOff>
      <xdr:row>14</xdr:row>
      <xdr:rowOff>9525</xdr:rowOff>
    </xdr:from>
    <xdr:to>
      <xdr:col>18</xdr:col>
      <xdr:colOff>418887</xdr:colOff>
      <xdr:row>15</xdr:row>
      <xdr:rowOff>265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60F0142D-6F88-4F49-B0AF-CE0A334C21D6}"/>
            </a:ext>
          </a:extLst>
        </xdr:cNvPr>
        <xdr:cNvSpPr/>
      </xdr:nvSpPr>
      <xdr:spPr>
        <a:xfrm>
          <a:off x="4566360" y="2897505"/>
          <a:ext cx="187232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</xdr:col>
      <xdr:colOff>3810</xdr:colOff>
      <xdr:row>16</xdr:row>
      <xdr:rowOff>179070</xdr:rowOff>
    </xdr:from>
    <xdr:to>
      <xdr:col>7</xdr:col>
      <xdr:colOff>454207</xdr:colOff>
      <xdr:row>18</xdr:row>
      <xdr:rowOff>17040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EDECBDD0-9340-4659-A7BE-A32CEF8A7C67}"/>
            </a:ext>
          </a:extLst>
        </xdr:cNvPr>
        <xdr:cNvSpPr/>
      </xdr:nvSpPr>
      <xdr:spPr>
        <a:xfrm>
          <a:off x="514350" y="3547110"/>
          <a:ext cx="2469697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DETALLE:</a:t>
          </a:r>
        </a:p>
      </xdr:txBody>
    </xdr:sp>
    <xdr:clientData/>
  </xdr:twoCellAnchor>
  <xdr:twoCellAnchor editAs="absolute">
    <xdr:from>
      <xdr:col>8</xdr:col>
      <xdr:colOff>78921</xdr:colOff>
      <xdr:row>16</xdr:row>
      <xdr:rowOff>179070</xdr:rowOff>
    </xdr:from>
    <xdr:to>
      <xdr:col>13</xdr:col>
      <xdr:colOff>1607</xdr:colOff>
      <xdr:row>18</xdr:row>
      <xdr:rowOff>17040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0FCF459D-79CD-49CB-9420-6B7D56F9474E}"/>
            </a:ext>
          </a:extLst>
        </xdr:cNvPr>
        <xdr:cNvSpPr/>
      </xdr:nvSpPr>
      <xdr:spPr>
        <a:xfrm>
          <a:off x="3088821" y="3547110"/>
          <a:ext cx="1378106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HABERES:</a:t>
          </a:r>
        </a:p>
      </xdr:txBody>
    </xdr:sp>
    <xdr:clientData/>
  </xdr:twoCellAnchor>
  <xdr:twoCellAnchor editAs="absolute">
    <xdr:from>
      <xdr:col>14</xdr:col>
      <xdr:colOff>1980</xdr:colOff>
      <xdr:row>16</xdr:row>
      <xdr:rowOff>179070</xdr:rowOff>
    </xdr:from>
    <xdr:to>
      <xdr:col>19</xdr:col>
      <xdr:colOff>921</xdr:colOff>
      <xdr:row>18</xdr:row>
      <xdr:rowOff>17040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C588F4F3-3861-4B04-930A-F831BDA72FC5}"/>
            </a:ext>
          </a:extLst>
        </xdr:cNvPr>
        <xdr:cNvSpPr/>
      </xdr:nvSpPr>
      <xdr:spPr>
        <a:xfrm>
          <a:off x="4558740" y="3547110"/>
          <a:ext cx="1896321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DESCUENTO:</a:t>
          </a:r>
        </a:p>
      </xdr:txBody>
    </xdr:sp>
    <xdr:clientData/>
  </xdr:twoCellAnchor>
  <xdr:twoCellAnchor editAs="absolute">
    <xdr:from>
      <xdr:col>10</xdr:col>
      <xdr:colOff>110634</xdr:colOff>
      <xdr:row>7</xdr:row>
      <xdr:rowOff>7493</xdr:rowOff>
    </xdr:from>
    <xdr:to>
      <xdr:col>14</xdr:col>
      <xdr:colOff>94954</xdr:colOff>
      <xdr:row>7</xdr:row>
      <xdr:rowOff>186081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7A636EDA-E7A4-48A9-98FF-1F7756973294}"/>
            </a:ext>
          </a:extLst>
        </xdr:cNvPr>
        <xdr:cNvSpPr/>
      </xdr:nvSpPr>
      <xdr:spPr>
        <a:xfrm>
          <a:off x="3501534" y="1409573"/>
          <a:ext cx="1150180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RAZÓN SOCIAL: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8</xdr:row>
      <xdr:rowOff>70173</xdr:rowOff>
    </xdr:from>
    <xdr:to>
      <xdr:col>11</xdr:col>
      <xdr:colOff>476749</xdr:colOff>
      <xdr:row>9</xdr:row>
      <xdr:rowOff>1111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F9A4ACAD-60EE-43E6-AF8C-E6E6BDBA6D3F}"/>
            </a:ext>
          </a:extLst>
        </xdr:cNvPr>
        <xdr:cNvSpPr/>
      </xdr:nvSpPr>
      <xdr:spPr>
        <a:xfrm>
          <a:off x="3501535" y="1693233"/>
          <a:ext cx="480414" cy="13667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9</xdr:row>
      <xdr:rowOff>68036</xdr:rowOff>
    </xdr:from>
    <xdr:to>
      <xdr:col>12</xdr:col>
      <xdr:colOff>271009</xdr:colOff>
      <xdr:row>10</xdr:row>
      <xdr:rowOff>3602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4424B3F6-9D02-4437-9D96-0AB9FA50B75B}"/>
            </a:ext>
          </a:extLst>
        </xdr:cNvPr>
        <xdr:cNvSpPr/>
      </xdr:nvSpPr>
      <xdr:spPr>
        <a:xfrm>
          <a:off x="3501535" y="1896836"/>
          <a:ext cx="914754" cy="14892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DIRECCIÓN:</a:t>
          </a:r>
        </a:p>
      </xdr:txBody>
    </xdr:sp>
    <xdr:clientData/>
  </xdr:twoCellAnchor>
  <xdr:twoCellAnchor editAs="absolute">
    <xdr:from>
      <xdr:col>10</xdr:col>
      <xdr:colOff>110635</xdr:colOff>
      <xdr:row>10</xdr:row>
      <xdr:rowOff>51122</xdr:rowOff>
    </xdr:from>
    <xdr:to>
      <xdr:col>11</xdr:col>
      <xdr:colOff>608194</xdr:colOff>
      <xdr:row>11</xdr:row>
      <xdr:rowOff>1110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3D067641-2F72-4CB4-AB93-B186F9264F0F}"/>
            </a:ext>
          </a:extLst>
        </xdr:cNvPr>
        <xdr:cNvSpPr/>
      </xdr:nvSpPr>
      <xdr:spPr>
        <a:xfrm>
          <a:off x="3501535" y="2093282"/>
          <a:ext cx="611859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EMAIL: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359797</xdr:colOff>
      <xdr:row>2</xdr:row>
      <xdr:rowOff>8245</xdr:rowOff>
    </xdr:from>
    <xdr:to>
      <xdr:col>15</xdr:col>
      <xdr:colOff>302812</xdr:colOff>
      <xdr:row>2</xdr:row>
      <xdr:rowOff>181427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1C3751D1-9496-4F17-98E2-888D7CA02CDC}"/>
            </a:ext>
          </a:extLst>
        </xdr:cNvPr>
        <xdr:cNvSpPr/>
      </xdr:nvSpPr>
      <xdr:spPr>
        <a:xfrm>
          <a:off x="1838077" y="374005"/>
          <a:ext cx="3120555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accent1">
                  <a:lumMod val="75000"/>
                </a:schemeClr>
              </a:solidFill>
            </a:rPr>
            <a:t>LIQUIDACIÓN DE SUELDO</a:t>
          </a:r>
          <a:r>
            <a:rPr lang="es-CL" sz="1400" b="1" baseline="0">
              <a:solidFill>
                <a:schemeClr val="accent1">
                  <a:lumMod val="75000"/>
                </a:schemeClr>
              </a:solidFill>
            </a:rPr>
            <a:t> MENSUAL</a:t>
          </a:r>
          <a:endParaRPr lang="es-CL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64976</xdr:colOff>
      <xdr:row>55</xdr:row>
      <xdr:rowOff>8250</xdr:rowOff>
    </xdr:from>
    <xdr:to>
      <xdr:col>18</xdr:col>
      <xdr:colOff>242662</xdr:colOff>
      <xdr:row>55</xdr:row>
      <xdr:rowOff>181432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139FC6A-19DA-4A11-B6BC-46BFEA546305}"/>
            </a:ext>
          </a:extLst>
        </xdr:cNvPr>
        <xdr:cNvSpPr/>
      </xdr:nvSpPr>
      <xdr:spPr>
        <a:xfrm>
          <a:off x="4720796" y="9015090"/>
          <a:ext cx="1541666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50" b="1">
              <a:solidFill>
                <a:schemeClr val="accent1">
                  <a:lumMod val="75000"/>
                </a:schemeClr>
              </a:solidFill>
              <a:latin typeface="Raleway" panose="020B0503030101060003" pitchFamily="34" charset="0"/>
            </a:rPr>
            <a:t>FIRMA TRABAJADOR</a:t>
          </a:r>
        </a:p>
      </xdr:txBody>
    </xdr:sp>
    <xdr:clientData/>
  </xdr:twoCellAnchor>
  <xdr:twoCellAnchor>
    <xdr:from>
      <xdr:col>13</xdr:col>
      <xdr:colOff>54429</xdr:colOff>
      <xdr:row>54</xdr:row>
      <xdr:rowOff>63500</xdr:rowOff>
    </xdr:from>
    <xdr:to>
      <xdr:col>18</xdr:col>
      <xdr:colOff>411159</xdr:colOff>
      <xdr:row>54</xdr:row>
      <xdr:rowOff>63500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276D69B7-CEBB-4D27-A355-C3D213891B49}"/>
            </a:ext>
          </a:extLst>
        </xdr:cNvPr>
        <xdr:cNvCxnSpPr/>
      </xdr:nvCxnSpPr>
      <xdr:spPr>
        <a:xfrm>
          <a:off x="4519749" y="8887460"/>
          <a:ext cx="1911210" cy="0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10582</xdr:colOff>
      <xdr:row>25</xdr:row>
      <xdr:rowOff>15877</xdr:rowOff>
    </xdr:from>
    <xdr:to>
      <xdr:col>7</xdr:col>
      <xdr:colOff>412750</xdr:colOff>
      <xdr:row>26</xdr:row>
      <xdr:rowOff>21167</xdr:rowOff>
    </xdr:to>
    <xdr:sp macro="" textlink="">
      <xdr:nvSpPr>
        <xdr:cNvPr id="53" name="Shape 19">
          <a:extLst>
            <a:ext uri="{FF2B5EF4-FFF2-40B4-BE49-F238E27FC236}">
              <a16:creationId xmlns:a16="http://schemas.microsoft.com/office/drawing/2014/main" id="{4B7F0AFF-C915-4668-8FA8-4DEA145C2D2F}"/>
            </a:ext>
          </a:extLst>
        </xdr:cNvPr>
        <xdr:cNvSpPr/>
      </xdr:nvSpPr>
      <xdr:spPr>
        <a:xfrm>
          <a:off x="521122" y="4785997"/>
          <a:ext cx="2421468" cy="2034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317</xdr:colOff>
      <xdr:row>25</xdr:row>
      <xdr:rowOff>5292</xdr:rowOff>
    </xdr:from>
    <xdr:to>
      <xdr:col>13</xdr:col>
      <xdr:colOff>2540</xdr:colOff>
      <xdr:row>25</xdr:row>
      <xdr:rowOff>189549</xdr:rowOff>
    </xdr:to>
    <xdr:sp macro="" textlink="">
      <xdr:nvSpPr>
        <xdr:cNvPr id="54" name="Shape 19">
          <a:extLst>
            <a:ext uri="{FF2B5EF4-FFF2-40B4-BE49-F238E27FC236}">
              <a16:creationId xmlns:a16="http://schemas.microsoft.com/office/drawing/2014/main" id="{9C50CBB8-2D14-4BAE-9AD5-8277F70B8F89}"/>
            </a:ext>
          </a:extLst>
        </xdr:cNvPr>
        <xdr:cNvSpPr/>
      </xdr:nvSpPr>
      <xdr:spPr>
        <a:xfrm>
          <a:off x="3105467" y="4775412"/>
          <a:ext cx="1362393" cy="18425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73550</xdr:colOff>
      <xdr:row>25</xdr:row>
      <xdr:rowOff>21167</xdr:rowOff>
    </xdr:from>
    <xdr:to>
      <xdr:col>19</xdr:col>
      <xdr:colOff>24338</xdr:colOff>
      <xdr:row>26</xdr:row>
      <xdr:rowOff>22029</xdr:rowOff>
    </xdr:to>
    <xdr:sp macro="" textlink="">
      <xdr:nvSpPr>
        <xdr:cNvPr id="55" name="Shape 19">
          <a:extLst>
            <a:ext uri="{FF2B5EF4-FFF2-40B4-BE49-F238E27FC236}">
              <a16:creationId xmlns:a16="http://schemas.microsoft.com/office/drawing/2014/main" id="{FDF161A7-84A4-4D84-91A1-1F75FCF6AD7B}"/>
            </a:ext>
          </a:extLst>
        </xdr:cNvPr>
        <xdr:cNvSpPr/>
      </xdr:nvSpPr>
      <xdr:spPr>
        <a:xfrm>
          <a:off x="4630310" y="4791287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55563</xdr:colOff>
      <xdr:row>1</xdr:row>
      <xdr:rowOff>79377</xdr:rowOff>
    </xdr:from>
    <xdr:to>
      <xdr:col>5</xdr:col>
      <xdr:colOff>148593</xdr:colOff>
      <xdr:row>3</xdr:row>
      <xdr:rowOff>147640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1B530B27-0543-446D-8E7F-B1FD250F0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03" y="262257"/>
          <a:ext cx="1418910" cy="494983"/>
        </a:xfrm>
        <a:prstGeom prst="rect">
          <a:avLst/>
        </a:prstGeom>
      </xdr:spPr>
    </xdr:pic>
    <xdr:clientData/>
  </xdr:twoCellAnchor>
  <xdr:twoCellAnchor editAs="absolute">
    <xdr:from>
      <xdr:col>1</xdr:col>
      <xdr:colOff>21166</xdr:colOff>
      <xdr:row>26</xdr:row>
      <xdr:rowOff>63500</xdr:rowOff>
    </xdr:from>
    <xdr:to>
      <xdr:col>7</xdr:col>
      <xdr:colOff>423334</xdr:colOff>
      <xdr:row>27</xdr:row>
      <xdr:rowOff>185206</xdr:rowOff>
    </xdr:to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80C9F047-4670-4BD7-AF34-63BFAAFFF35D}"/>
            </a:ext>
          </a:extLst>
        </xdr:cNvPr>
        <xdr:cNvSpPr/>
      </xdr:nvSpPr>
      <xdr:spPr>
        <a:xfrm>
          <a:off x="531706" y="503174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63501</xdr:colOff>
      <xdr:row>27</xdr:row>
      <xdr:rowOff>0</xdr:rowOff>
    </xdr:from>
    <xdr:to>
      <xdr:col>13</xdr:col>
      <xdr:colOff>531</xdr:colOff>
      <xdr:row>28</xdr:row>
      <xdr:rowOff>10583</xdr:rowOff>
    </xdr:to>
    <xdr:sp macro="" textlink="">
      <xdr:nvSpPr>
        <xdr:cNvPr id="58" name="Shape 19">
          <a:extLst>
            <a:ext uri="{FF2B5EF4-FFF2-40B4-BE49-F238E27FC236}">
              <a16:creationId xmlns:a16="http://schemas.microsoft.com/office/drawing/2014/main" id="{6B4F0DD7-2147-4D1A-9A03-2B81D597F9FA}"/>
            </a:ext>
          </a:extLst>
        </xdr:cNvPr>
        <xdr:cNvSpPr/>
      </xdr:nvSpPr>
      <xdr:spPr>
        <a:xfrm>
          <a:off x="3073401" y="504444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74084</xdr:colOff>
      <xdr:row>27</xdr:row>
      <xdr:rowOff>0</xdr:rowOff>
    </xdr:from>
    <xdr:to>
      <xdr:col>19</xdr:col>
      <xdr:colOff>24872</xdr:colOff>
      <xdr:row>28</xdr:row>
      <xdr:rowOff>862</xdr:rowOff>
    </xdr:to>
    <xdr:sp macro="" textlink="">
      <xdr:nvSpPr>
        <xdr:cNvPr id="59" name="Shape 19">
          <a:extLst>
            <a:ext uri="{FF2B5EF4-FFF2-40B4-BE49-F238E27FC236}">
              <a16:creationId xmlns:a16="http://schemas.microsoft.com/office/drawing/2014/main" id="{BB4602AC-153B-4424-A2AF-AF201E2583A8}"/>
            </a:ext>
          </a:extLst>
        </xdr:cNvPr>
        <xdr:cNvSpPr/>
      </xdr:nvSpPr>
      <xdr:spPr>
        <a:xfrm>
          <a:off x="4630844" y="504444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29</xdr:row>
      <xdr:rowOff>6350</xdr:rowOff>
    </xdr:from>
    <xdr:to>
      <xdr:col>7</xdr:col>
      <xdr:colOff>402168</xdr:colOff>
      <xdr:row>30</xdr:row>
      <xdr:rowOff>7406</xdr:rowOff>
    </xdr:to>
    <xdr:sp macro="" textlink="">
      <xdr:nvSpPr>
        <xdr:cNvPr id="60" name="Shape 19">
          <a:extLst>
            <a:ext uri="{FF2B5EF4-FFF2-40B4-BE49-F238E27FC236}">
              <a16:creationId xmlns:a16="http://schemas.microsoft.com/office/drawing/2014/main" id="{FFC5C512-2943-4381-B703-EC1C98438E77}"/>
            </a:ext>
          </a:extLst>
        </xdr:cNvPr>
        <xdr:cNvSpPr/>
      </xdr:nvSpPr>
      <xdr:spPr>
        <a:xfrm>
          <a:off x="508000" y="528320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29</xdr:row>
      <xdr:rowOff>12700</xdr:rowOff>
    </xdr:from>
    <xdr:to>
      <xdr:col>13</xdr:col>
      <xdr:colOff>36090</xdr:colOff>
      <xdr:row>30</xdr:row>
      <xdr:rowOff>23283</xdr:rowOff>
    </xdr:to>
    <xdr:sp macro="" textlink="">
      <xdr:nvSpPr>
        <xdr:cNvPr id="61" name="Shape 19">
          <a:extLst>
            <a:ext uri="{FF2B5EF4-FFF2-40B4-BE49-F238E27FC236}">
              <a16:creationId xmlns:a16="http://schemas.microsoft.com/office/drawing/2014/main" id="{4BCB0804-DD48-4E4B-B7EF-7896E9588891}"/>
            </a:ext>
          </a:extLst>
        </xdr:cNvPr>
        <xdr:cNvSpPr/>
      </xdr:nvSpPr>
      <xdr:spPr>
        <a:xfrm>
          <a:off x="3111500" y="5289550"/>
          <a:ext cx="1388640" cy="20743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10583</xdr:colOff>
      <xdr:row>29</xdr:row>
      <xdr:rowOff>0</xdr:rowOff>
    </xdr:from>
    <xdr:to>
      <xdr:col>19</xdr:col>
      <xdr:colOff>60431</xdr:colOff>
      <xdr:row>30</xdr:row>
      <xdr:rowOff>862</xdr:rowOff>
    </xdr:to>
    <xdr:sp macro="" textlink="">
      <xdr:nvSpPr>
        <xdr:cNvPr id="62" name="Shape 19">
          <a:extLst>
            <a:ext uri="{FF2B5EF4-FFF2-40B4-BE49-F238E27FC236}">
              <a16:creationId xmlns:a16="http://schemas.microsoft.com/office/drawing/2014/main" id="{7080A7CF-19F0-4346-95A6-62D55D3FFE4A}"/>
            </a:ext>
          </a:extLst>
        </xdr:cNvPr>
        <xdr:cNvSpPr/>
      </xdr:nvSpPr>
      <xdr:spPr>
        <a:xfrm>
          <a:off x="4666403" y="529590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31</xdr:row>
      <xdr:rowOff>0</xdr:rowOff>
    </xdr:from>
    <xdr:to>
      <xdr:col>7</xdr:col>
      <xdr:colOff>402168</xdr:colOff>
      <xdr:row>32</xdr:row>
      <xdr:rowOff>1056</xdr:rowOff>
    </xdr:to>
    <xdr:sp macro="" textlink="">
      <xdr:nvSpPr>
        <xdr:cNvPr id="63" name="Shape 19">
          <a:extLst>
            <a:ext uri="{FF2B5EF4-FFF2-40B4-BE49-F238E27FC236}">
              <a16:creationId xmlns:a16="http://schemas.microsoft.com/office/drawing/2014/main" id="{F0030F46-0BAC-41CF-BA68-D9782F55E9EE}"/>
            </a:ext>
          </a:extLst>
        </xdr:cNvPr>
        <xdr:cNvSpPr/>
      </xdr:nvSpPr>
      <xdr:spPr>
        <a:xfrm>
          <a:off x="510540" y="560070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31</xdr:row>
      <xdr:rowOff>0</xdr:rowOff>
    </xdr:from>
    <xdr:to>
      <xdr:col>13</xdr:col>
      <xdr:colOff>36090</xdr:colOff>
      <xdr:row>32</xdr:row>
      <xdr:rowOff>10583</xdr:rowOff>
    </xdr:to>
    <xdr:sp macro="" textlink="">
      <xdr:nvSpPr>
        <xdr:cNvPr id="64" name="Shape 19">
          <a:extLst>
            <a:ext uri="{FF2B5EF4-FFF2-40B4-BE49-F238E27FC236}">
              <a16:creationId xmlns:a16="http://schemas.microsoft.com/office/drawing/2014/main" id="{845823F6-BC21-4B19-B70D-3BAE98173D64}"/>
            </a:ext>
          </a:extLst>
        </xdr:cNvPr>
        <xdr:cNvSpPr/>
      </xdr:nvSpPr>
      <xdr:spPr>
        <a:xfrm>
          <a:off x="3108960" y="56007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82550</xdr:colOff>
      <xdr:row>31</xdr:row>
      <xdr:rowOff>0</xdr:rowOff>
    </xdr:from>
    <xdr:to>
      <xdr:col>19</xdr:col>
      <xdr:colOff>30798</xdr:colOff>
      <xdr:row>32</xdr:row>
      <xdr:rowOff>862</xdr:rowOff>
    </xdr:to>
    <xdr:sp macro="" textlink="">
      <xdr:nvSpPr>
        <xdr:cNvPr id="65" name="Shape 19">
          <a:extLst>
            <a:ext uri="{FF2B5EF4-FFF2-40B4-BE49-F238E27FC236}">
              <a16:creationId xmlns:a16="http://schemas.microsoft.com/office/drawing/2014/main" id="{0C97911F-FE08-47C2-9E02-4E743935C5C1}"/>
            </a:ext>
          </a:extLst>
        </xdr:cNvPr>
        <xdr:cNvSpPr/>
      </xdr:nvSpPr>
      <xdr:spPr>
        <a:xfrm>
          <a:off x="4635500" y="5581650"/>
          <a:ext cx="1846898" cy="19771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43</xdr:row>
      <xdr:rowOff>0</xdr:rowOff>
    </xdr:from>
    <xdr:to>
      <xdr:col>7</xdr:col>
      <xdr:colOff>463097</xdr:colOff>
      <xdr:row>44</xdr:row>
      <xdr:rowOff>12390</xdr:rowOff>
    </xdr:to>
    <xdr:sp macro="" textlink="">
      <xdr:nvSpPr>
        <xdr:cNvPr id="66" name="Shape 19">
          <a:extLst>
            <a:ext uri="{FF2B5EF4-FFF2-40B4-BE49-F238E27FC236}">
              <a16:creationId xmlns:a16="http://schemas.microsoft.com/office/drawing/2014/main" id="{97F7AEBD-BC70-4AC4-87E7-910333C97E1F}"/>
            </a:ext>
          </a:extLst>
        </xdr:cNvPr>
        <xdr:cNvSpPr/>
      </xdr:nvSpPr>
      <xdr:spPr>
        <a:xfrm>
          <a:off x="508000" y="7391400"/>
          <a:ext cx="2482397" cy="20924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43</xdr:row>
      <xdr:rowOff>0</xdr:rowOff>
    </xdr:from>
    <xdr:to>
      <xdr:col>13</xdr:col>
      <xdr:colOff>24448</xdr:colOff>
      <xdr:row>43</xdr:row>
      <xdr:rowOff>187749</xdr:rowOff>
    </xdr:to>
    <xdr:sp macro="" textlink="">
      <xdr:nvSpPr>
        <xdr:cNvPr id="67" name="Shape 19">
          <a:extLst>
            <a:ext uri="{FF2B5EF4-FFF2-40B4-BE49-F238E27FC236}">
              <a16:creationId xmlns:a16="http://schemas.microsoft.com/office/drawing/2014/main" id="{EFF34F3F-053D-4F13-97B6-41274D375F40}"/>
            </a:ext>
          </a:extLst>
        </xdr:cNvPr>
        <xdr:cNvSpPr/>
      </xdr:nvSpPr>
      <xdr:spPr>
        <a:xfrm>
          <a:off x="3111500" y="7391400"/>
          <a:ext cx="1376998" cy="18774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0</xdr:colOff>
      <xdr:row>43</xdr:row>
      <xdr:rowOff>0</xdr:rowOff>
    </xdr:from>
    <xdr:to>
      <xdr:col>19</xdr:col>
      <xdr:colOff>73025</xdr:colOff>
      <xdr:row>44</xdr:row>
      <xdr:rowOff>6806</xdr:rowOff>
    </xdr:to>
    <xdr:sp macro="" textlink="">
      <xdr:nvSpPr>
        <xdr:cNvPr id="68" name="Shape 19">
          <a:extLst>
            <a:ext uri="{FF2B5EF4-FFF2-40B4-BE49-F238E27FC236}">
              <a16:creationId xmlns:a16="http://schemas.microsoft.com/office/drawing/2014/main" id="{01AF8B04-3C69-45A3-9F37-C6598E67FB97}"/>
            </a:ext>
          </a:extLst>
        </xdr:cNvPr>
        <xdr:cNvSpPr/>
      </xdr:nvSpPr>
      <xdr:spPr>
        <a:xfrm>
          <a:off x="4654550" y="7391400"/>
          <a:ext cx="1870075" cy="20365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500063</xdr:colOff>
      <xdr:row>53</xdr:row>
      <xdr:rowOff>174625</xdr:rowOff>
    </xdr:from>
    <xdr:to>
      <xdr:col>19</xdr:col>
      <xdr:colOff>113770</xdr:colOff>
      <xdr:row>60</xdr:row>
      <xdr:rowOff>135776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0A280A-2D5F-4CCE-9BCE-621EE60E01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6"/>
        <a:stretch/>
      </xdr:blipFill>
      <xdr:spPr>
        <a:xfrm>
          <a:off x="500063" y="9181465"/>
          <a:ext cx="6067847" cy="124893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97020</xdr:colOff>
      <xdr:row>12</xdr:row>
      <xdr:rowOff>36880</xdr:rowOff>
    </xdr:from>
    <xdr:to>
      <xdr:col>12</xdr:col>
      <xdr:colOff>212907</xdr:colOff>
      <xdr:row>13</xdr:row>
      <xdr:rowOff>1357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1A048AF-FAFF-4250-8448-6C8C41BB775A}"/>
            </a:ext>
          </a:extLst>
        </xdr:cNvPr>
        <xdr:cNvSpPr/>
      </xdr:nvSpPr>
      <xdr:spPr>
        <a:xfrm>
          <a:off x="2613525" y="2627680"/>
          <a:ext cx="1740852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LICENCIA</a:t>
          </a:r>
        </a:p>
      </xdr:txBody>
    </xdr:sp>
    <xdr:clientData/>
  </xdr:twoCellAnchor>
  <xdr:twoCellAnchor editAs="absolute">
    <xdr:from>
      <xdr:col>15</xdr:col>
      <xdr:colOff>500</xdr:colOff>
      <xdr:row>12</xdr:row>
      <xdr:rowOff>36880</xdr:rowOff>
    </xdr:from>
    <xdr:to>
      <xdr:col>18</xdr:col>
      <xdr:colOff>345305</xdr:colOff>
      <xdr:row>13</xdr:row>
      <xdr:rowOff>1357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64F3F24-4014-4D99-817E-77C9D5919825}"/>
            </a:ext>
          </a:extLst>
        </xdr:cNvPr>
        <xdr:cNvSpPr/>
      </xdr:nvSpPr>
      <xdr:spPr>
        <a:xfrm>
          <a:off x="4644890" y="2627680"/>
          <a:ext cx="1720215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AUSENCIA</a:t>
          </a:r>
        </a:p>
      </xdr:txBody>
    </xdr:sp>
    <xdr:clientData/>
  </xdr:twoCellAnchor>
  <xdr:twoCellAnchor editAs="absolute">
    <xdr:from>
      <xdr:col>1</xdr:col>
      <xdr:colOff>360998</xdr:colOff>
      <xdr:row>17</xdr:row>
      <xdr:rowOff>2007</xdr:rowOff>
    </xdr:from>
    <xdr:to>
      <xdr:col>7</xdr:col>
      <xdr:colOff>74160</xdr:colOff>
      <xdr:row>18</xdr:row>
      <xdr:rowOff>542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AF08EF1-A880-431B-ACE7-A9E58F5D22DD}"/>
            </a:ext>
          </a:extLst>
        </xdr:cNvPr>
        <xdr:cNvSpPr/>
      </xdr:nvSpPr>
      <xdr:spPr>
        <a:xfrm>
          <a:off x="867728" y="3552927"/>
          <a:ext cx="1736272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DETALLES:</a:t>
          </a:r>
        </a:p>
      </xdr:txBody>
    </xdr:sp>
    <xdr:clientData/>
  </xdr:twoCellAnchor>
  <xdr:twoCellAnchor editAs="absolute">
    <xdr:from>
      <xdr:col>7</xdr:col>
      <xdr:colOff>365625</xdr:colOff>
      <xdr:row>17</xdr:row>
      <xdr:rowOff>407</xdr:rowOff>
    </xdr:from>
    <xdr:to>
      <xdr:col>15</xdr:col>
      <xdr:colOff>2405</xdr:colOff>
      <xdr:row>17</xdr:row>
      <xdr:rowOff>191042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C2B4FF9-BD57-4B65-AC38-4CB494CC0F7C}"/>
            </a:ext>
          </a:extLst>
        </xdr:cNvPr>
        <xdr:cNvSpPr/>
      </xdr:nvSpPr>
      <xdr:spPr>
        <a:xfrm>
          <a:off x="2899275" y="3549422"/>
          <a:ext cx="1758950" cy="192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HABERES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15</xdr:col>
      <xdr:colOff>2405</xdr:colOff>
      <xdr:row>17</xdr:row>
      <xdr:rowOff>2008</xdr:rowOff>
    </xdr:from>
    <xdr:to>
      <xdr:col>18</xdr:col>
      <xdr:colOff>358640</xdr:colOff>
      <xdr:row>18</xdr:row>
      <xdr:rowOff>543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E80A5B47-7B11-470D-B7E6-2CC630C80F0D}"/>
            </a:ext>
          </a:extLst>
        </xdr:cNvPr>
        <xdr:cNvSpPr/>
      </xdr:nvSpPr>
      <xdr:spPr>
        <a:xfrm>
          <a:off x="4658225" y="3552928"/>
          <a:ext cx="1716405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DESCUENTO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</xdr:col>
      <xdr:colOff>0</xdr:colOff>
      <xdr:row>21</xdr:row>
      <xdr:rowOff>184</xdr:rowOff>
    </xdr:from>
    <xdr:to>
      <xdr:col>7</xdr:col>
      <xdr:colOff>437062</xdr:colOff>
      <xdr:row>22</xdr:row>
      <xdr:rowOff>2271</xdr:rowOff>
    </xdr:to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C800DA78-9B72-4DD8-825F-9D5E0F7730F6}"/>
            </a:ext>
          </a:extLst>
        </xdr:cNvPr>
        <xdr:cNvSpPr/>
      </xdr:nvSpPr>
      <xdr:spPr>
        <a:xfrm>
          <a:off x="510540" y="4267384"/>
          <a:ext cx="2460172" cy="20020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18488</xdr:colOff>
      <xdr:row>21</xdr:row>
      <xdr:rowOff>3542</xdr:rowOff>
    </xdr:from>
    <xdr:to>
      <xdr:col>13</xdr:col>
      <xdr:colOff>18595</xdr:colOff>
      <xdr:row>22</xdr:row>
      <xdr:rowOff>17141</xdr:rowOff>
    </xdr:to>
    <xdr:sp macro="" textlink="">
      <xdr:nvSpPr>
        <xdr:cNvPr id="9" name="Shape 19">
          <a:extLst>
            <a:ext uri="{FF2B5EF4-FFF2-40B4-BE49-F238E27FC236}">
              <a16:creationId xmlns:a16="http://schemas.microsoft.com/office/drawing/2014/main" id="{8DF114F5-A2F8-4B17-B5B0-6AAEE20D3692}"/>
            </a:ext>
          </a:extLst>
        </xdr:cNvPr>
        <xdr:cNvSpPr/>
      </xdr:nvSpPr>
      <xdr:spPr>
        <a:xfrm>
          <a:off x="3131258" y="4270742"/>
          <a:ext cx="1362182" cy="20028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58386</xdr:colOff>
      <xdr:row>21</xdr:row>
      <xdr:rowOff>184</xdr:rowOff>
    </xdr:from>
    <xdr:to>
      <xdr:col>19</xdr:col>
      <xdr:colOff>18382</xdr:colOff>
      <xdr:row>22</xdr:row>
      <xdr:rowOff>2190</xdr:rowOff>
    </xdr:to>
    <xdr:sp macro="" textlink="">
      <xdr:nvSpPr>
        <xdr:cNvPr id="10" name="Shape 19">
          <a:extLst>
            <a:ext uri="{FF2B5EF4-FFF2-40B4-BE49-F238E27FC236}">
              <a16:creationId xmlns:a16="http://schemas.microsoft.com/office/drawing/2014/main" id="{B89D8FA9-9DDC-4770-B775-FF7F00BAF7C6}"/>
            </a:ext>
          </a:extLst>
        </xdr:cNvPr>
        <xdr:cNvSpPr/>
      </xdr:nvSpPr>
      <xdr:spPr>
        <a:xfrm>
          <a:off x="4618956" y="4267384"/>
          <a:ext cx="1849756" cy="2001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23</xdr:row>
      <xdr:rowOff>853</xdr:rowOff>
    </xdr:from>
    <xdr:to>
      <xdr:col>7</xdr:col>
      <xdr:colOff>437062</xdr:colOff>
      <xdr:row>24</xdr:row>
      <xdr:rowOff>1796</xdr:rowOff>
    </xdr:to>
    <xdr:sp macro="" textlink="">
      <xdr:nvSpPr>
        <xdr:cNvPr id="11" name="Shape 19">
          <a:extLst>
            <a:ext uri="{FF2B5EF4-FFF2-40B4-BE49-F238E27FC236}">
              <a16:creationId xmlns:a16="http://schemas.microsoft.com/office/drawing/2014/main" id="{E4FAAD88-36AF-4993-8670-CEAA724F0075}"/>
            </a:ext>
          </a:extLst>
        </xdr:cNvPr>
        <xdr:cNvSpPr/>
      </xdr:nvSpPr>
      <xdr:spPr>
        <a:xfrm>
          <a:off x="510540" y="4519513"/>
          <a:ext cx="2460172" cy="1990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79979</xdr:colOff>
      <xdr:row>23</xdr:row>
      <xdr:rowOff>3541</xdr:rowOff>
    </xdr:from>
    <xdr:to>
      <xdr:col>13</xdr:col>
      <xdr:colOff>18702</xdr:colOff>
      <xdr:row>24</xdr:row>
      <xdr:rowOff>16666</xdr:rowOff>
    </xdr:to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3D87C17C-C7F3-47FB-B021-845BD1BA0B99}"/>
            </a:ext>
          </a:extLst>
        </xdr:cNvPr>
        <xdr:cNvSpPr/>
      </xdr:nvSpPr>
      <xdr:spPr>
        <a:xfrm>
          <a:off x="3089879" y="4522201"/>
          <a:ext cx="1390333" cy="19981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74367</xdr:colOff>
      <xdr:row>23</xdr:row>
      <xdr:rowOff>853</xdr:rowOff>
    </xdr:from>
    <xdr:to>
      <xdr:col>19</xdr:col>
      <xdr:colOff>21345</xdr:colOff>
      <xdr:row>24</xdr:row>
      <xdr:rowOff>1715</xdr:rowOff>
    </xdr:to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46563E51-5861-495E-A68F-6E3FB51B212D}"/>
            </a:ext>
          </a:extLst>
        </xdr:cNvPr>
        <xdr:cNvSpPr/>
      </xdr:nvSpPr>
      <xdr:spPr>
        <a:xfrm>
          <a:off x="4631127" y="4519513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16195</xdr:colOff>
      <xdr:row>35</xdr:row>
      <xdr:rowOff>18913</xdr:rowOff>
    </xdr:from>
    <xdr:to>
      <xdr:col>8</xdr:col>
      <xdr:colOff>1137</xdr:colOff>
      <xdr:row>36</xdr:row>
      <xdr:rowOff>17058</xdr:rowOff>
    </xdr:to>
    <xdr:sp macro="" textlink="">
      <xdr:nvSpPr>
        <xdr:cNvPr id="14" name="Shape 19">
          <a:extLst>
            <a:ext uri="{FF2B5EF4-FFF2-40B4-BE49-F238E27FC236}">
              <a16:creationId xmlns:a16="http://schemas.microsoft.com/office/drawing/2014/main" id="{57243B26-3A62-4627-91D3-871AAE025A61}"/>
            </a:ext>
          </a:extLst>
        </xdr:cNvPr>
        <xdr:cNvSpPr/>
      </xdr:nvSpPr>
      <xdr:spPr>
        <a:xfrm>
          <a:off x="522925" y="6324463"/>
          <a:ext cx="2482397" cy="19626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19549</xdr:colOff>
      <xdr:row>35</xdr:row>
      <xdr:rowOff>3117</xdr:rowOff>
    </xdr:from>
    <xdr:to>
      <xdr:col>13</xdr:col>
      <xdr:colOff>37012</xdr:colOff>
      <xdr:row>35</xdr:row>
      <xdr:rowOff>191602</xdr:rowOff>
    </xdr:to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46825062-546B-4952-B908-95B9535FC2D6}"/>
            </a:ext>
          </a:extLst>
        </xdr:cNvPr>
        <xdr:cNvSpPr/>
      </xdr:nvSpPr>
      <xdr:spPr>
        <a:xfrm>
          <a:off x="3118984" y="6304857"/>
          <a:ext cx="1383348" cy="18848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39791</xdr:colOff>
      <xdr:row>35</xdr:row>
      <xdr:rowOff>16932</xdr:rowOff>
    </xdr:from>
    <xdr:to>
      <xdr:col>19</xdr:col>
      <xdr:colOff>56269</xdr:colOff>
      <xdr:row>36</xdr:row>
      <xdr:rowOff>44</xdr:rowOff>
    </xdr:to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82E18FFA-B07A-464C-A07D-AC38607FA6B4}"/>
            </a:ext>
          </a:extLst>
        </xdr:cNvPr>
        <xdr:cNvSpPr/>
      </xdr:nvSpPr>
      <xdr:spPr>
        <a:xfrm>
          <a:off x="4694341" y="6289462"/>
          <a:ext cx="1823053" cy="1875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16193</xdr:colOff>
      <xdr:row>36</xdr:row>
      <xdr:rowOff>58298</xdr:rowOff>
    </xdr:from>
    <xdr:to>
      <xdr:col>8</xdr:col>
      <xdr:colOff>1135</xdr:colOff>
      <xdr:row>37</xdr:row>
      <xdr:rowOff>173726</xdr:rowOff>
    </xdr:to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5129F0BC-2CA0-4228-9C32-10D636201271}"/>
            </a:ext>
          </a:extLst>
        </xdr:cNvPr>
        <xdr:cNvSpPr/>
      </xdr:nvSpPr>
      <xdr:spPr>
        <a:xfrm>
          <a:off x="522923" y="6554348"/>
          <a:ext cx="2482397" cy="199248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76</xdr:colOff>
      <xdr:row>36</xdr:row>
      <xdr:rowOff>75933</xdr:rowOff>
    </xdr:from>
    <xdr:to>
      <xdr:col>13</xdr:col>
      <xdr:colOff>3781</xdr:colOff>
      <xdr:row>37</xdr:row>
      <xdr:rowOff>190585</xdr:rowOff>
    </xdr:to>
    <xdr:sp macro="" textlink="">
      <xdr:nvSpPr>
        <xdr:cNvPr id="18" name="Shape 19">
          <a:extLst>
            <a:ext uri="{FF2B5EF4-FFF2-40B4-BE49-F238E27FC236}">
              <a16:creationId xmlns:a16="http://schemas.microsoft.com/office/drawing/2014/main" id="{0BC852AC-CA76-409E-85D8-A302161C8396}"/>
            </a:ext>
          </a:extLst>
        </xdr:cNvPr>
        <xdr:cNvSpPr/>
      </xdr:nvSpPr>
      <xdr:spPr>
        <a:xfrm>
          <a:off x="3109036" y="6575793"/>
          <a:ext cx="1360065" cy="190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2540</xdr:colOff>
      <xdr:row>37</xdr:row>
      <xdr:rowOff>16932</xdr:rowOff>
    </xdr:from>
    <xdr:to>
      <xdr:col>19</xdr:col>
      <xdr:colOff>56273</xdr:colOff>
      <xdr:row>37</xdr:row>
      <xdr:rowOff>188995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F2236C0B-0BD1-4363-A697-22C150D924FD}"/>
            </a:ext>
          </a:extLst>
        </xdr:cNvPr>
        <xdr:cNvSpPr/>
      </xdr:nvSpPr>
      <xdr:spPr>
        <a:xfrm>
          <a:off x="4657090" y="6566322"/>
          <a:ext cx="1860308" cy="17587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21273</xdr:colOff>
      <xdr:row>38</xdr:row>
      <xdr:rowOff>55219</xdr:rowOff>
    </xdr:from>
    <xdr:to>
      <xdr:col>8</xdr:col>
      <xdr:colOff>15740</xdr:colOff>
      <xdr:row>39</xdr:row>
      <xdr:rowOff>175032</xdr:rowOff>
    </xdr:to>
    <xdr:sp macro="" textlink="">
      <xdr:nvSpPr>
        <xdr:cNvPr id="20" name="Shape 19">
          <a:extLst>
            <a:ext uri="{FF2B5EF4-FFF2-40B4-BE49-F238E27FC236}">
              <a16:creationId xmlns:a16="http://schemas.microsoft.com/office/drawing/2014/main" id="{A267CFEA-58BB-4690-B1D1-FE57F83E80E3}"/>
            </a:ext>
          </a:extLst>
        </xdr:cNvPr>
        <xdr:cNvSpPr/>
      </xdr:nvSpPr>
      <xdr:spPr>
        <a:xfrm>
          <a:off x="535623" y="6817969"/>
          <a:ext cx="2482397" cy="19982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17326</xdr:colOff>
      <xdr:row>39</xdr:row>
      <xdr:rowOff>17967</xdr:rowOff>
    </xdr:from>
    <xdr:to>
      <xdr:col>13</xdr:col>
      <xdr:colOff>53658</xdr:colOff>
      <xdr:row>40</xdr:row>
      <xdr:rowOff>17886</xdr:rowOff>
    </xdr:to>
    <xdr:sp macro="" textlink="">
      <xdr:nvSpPr>
        <xdr:cNvPr id="21" name="Shape 19">
          <a:extLst>
            <a:ext uri="{FF2B5EF4-FFF2-40B4-BE49-F238E27FC236}">
              <a16:creationId xmlns:a16="http://schemas.microsoft.com/office/drawing/2014/main" id="{21BE68FC-7A5E-4001-A7A5-C112A030452A}"/>
            </a:ext>
          </a:extLst>
        </xdr:cNvPr>
        <xdr:cNvSpPr/>
      </xdr:nvSpPr>
      <xdr:spPr>
        <a:xfrm>
          <a:off x="3135811" y="6862632"/>
          <a:ext cx="1371737" cy="19422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2965</xdr:colOff>
      <xdr:row>39</xdr:row>
      <xdr:rowOff>15427</xdr:rowOff>
    </xdr:from>
    <xdr:to>
      <xdr:col>19</xdr:col>
      <xdr:colOff>93843</xdr:colOff>
      <xdr:row>40</xdr:row>
      <xdr:rowOff>20531</xdr:rowOff>
    </xdr:to>
    <xdr:sp macro="" textlink="">
      <xdr:nvSpPr>
        <xdr:cNvPr id="22" name="Shape 19">
          <a:extLst>
            <a:ext uri="{FF2B5EF4-FFF2-40B4-BE49-F238E27FC236}">
              <a16:creationId xmlns:a16="http://schemas.microsoft.com/office/drawing/2014/main" id="{600569FC-485E-4CEF-92E0-379C00B50955}"/>
            </a:ext>
          </a:extLst>
        </xdr:cNvPr>
        <xdr:cNvSpPr/>
      </xdr:nvSpPr>
      <xdr:spPr>
        <a:xfrm>
          <a:off x="4654975" y="6842947"/>
          <a:ext cx="1889198" cy="19369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16195</xdr:colOff>
      <xdr:row>41</xdr:row>
      <xdr:rowOff>15652</xdr:rowOff>
    </xdr:from>
    <xdr:to>
      <xdr:col>8</xdr:col>
      <xdr:colOff>502</xdr:colOff>
      <xdr:row>42</xdr:row>
      <xdr:rowOff>20422</xdr:rowOff>
    </xdr:to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1A82369C-DD37-4D2E-8DAF-47E91C5F6C53}"/>
            </a:ext>
          </a:extLst>
        </xdr:cNvPr>
        <xdr:cNvSpPr/>
      </xdr:nvSpPr>
      <xdr:spPr>
        <a:xfrm>
          <a:off x="530545" y="7106062"/>
          <a:ext cx="2479857" cy="2105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22724</xdr:colOff>
      <xdr:row>41</xdr:row>
      <xdr:rowOff>15924</xdr:rowOff>
    </xdr:from>
    <xdr:to>
      <xdr:col>13</xdr:col>
      <xdr:colOff>54792</xdr:colOff>
      <xdr:row>42</xdr:row>
      <xdr:rowOff>20158</xdr:rowOff>
    </xdr:to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319B2BE6-BEC2-4991-8FFE-ECE9DF5C79A7}"/>
            </a:ext>
          </a:extLst>
        </xdr:cNvPr>
        <xdr:cNvSpPr/>
      </xdr:nvSpPr>
      <xdr:spPr>
        <a:xfrm>
          <a:off x="3143114" y="7121574"/>
          <a:ext cx="1380808" cy="18901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1028</xdr:colOff>
      <xdr:row>41</xdr:row>
      <xdr:rowOff>16711</xdr:rowOff>
    </xdr:from>
    <xdr:to>
      <xdr:col>19</xdr:col>
      <xdr:colOff>54368</xdr:colOff>
      <xdr:row>42</xdr:row>
      <xdr:rowOff>15897</xdr:rowOff>
    </xdr:to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79BA8E27-C6C4-4315-86CA-84EEF4A6F55A}"/>
            </a:ext>
          </a:extLst>
        </xdr:cNvPr>
        <xdr:cNvSpPr/>
      </xdr:nvSpPr>
      <xdr:spPr>
        <a:xfrm>
          <a:off x="4643513" y="7107121"/>
          <a:ext cx="1868805" cy="2049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18098</xdr:colOff>
      <xdr:row>44</xdr:row>
      <xdr:rowOff>59034</xdr:rowOff>
    </xdr:from>
    <xdr:to>
      <xdr:col>13</xdr:col>
      <xdr:colOff>58421</xdr:colOff>
      <xdr:row>46</xdr:row>
      <xdr:rowOff>22062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59C0F2C4-6A6E-4530-9ADD-AA4C86BA5AC8}"/>
            </a:ext>
          </a:extLst>
        </xdr:cNvPr>
        <xdr:cNvSpPr/>
      </xdr:nvSpPr>
      <xdr:spPr>
        <a:xfrm>
          <a:off x="3140393" y="7652364"/>
          <a:ext cx="1373823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15</xdr:col>
      <xdr:colOff>39336</xdr:colOff>
      <xdr:row>44</xdr:row>
      <xdr:rowOff>57976</xdr:rowOff>
    </xdr:from>
    <xdr:to>
      <xdr:col>19</xdr:col>
      <xdr:colOff>95353</xdr:colOff>
      <xdr:row>46</xdr:row>
      <xdr:rowOff>15289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0E71C6FF-E6F7-4D4A-A6C0-E637B280A702}"/>
            </a:ext>
          </a:extLst>
        </xdr:cNvPr>
        <xdr:cNvSpPr/>
      </xdr:nvSpPr>
      <xdr:spPr>
        <a:xfrm>
          <a:off x="4695156" y="7641781"/>
          <a:ext cx="1841002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54096</xdr:colOff>
      <xdr:row>47</xdr:row>
      <xdr:rowOff>39934</xdr:rowOff>
    </xdr:from>
    <xdr:to>
      <xdr:col>7</xdr:col>
      <xdr:colOff>283209</xdr:colOff>
      <xdr:row>48</xdr:row>
      <xdr:rowOff>92709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C24B6218-B8D3-4B9C-94B9-88B4ADE38CE2}"/>
            </a:ext>
          </a:extLst>
        </xdr:cNvPr>
        <xdr:cNvSpPr/>
      </xdr:nvSpPr>
      <xdr:spPr>
        <a:xfrm>
          <a:off x="560826" y="7987594"/>
          <a:ext cx="2248413" cy="231845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58541</xdr:colOff>
      <xdr:row>44</xdr:row>
      <xdr:rowOff>58954</xdr:rowOff>
    </xdr:from>
    <xdr:to>
      <xdr:col>7</xdr:col>
      <xdr:colOff>266700</xdr:colOff>
      <xdr:row>46</xdr:row>
      <xdr:rowOff>18415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C057AC4A-60A1-4E9B-88AD-EC16491BEE9F}"/>
            </a:ext>
          </a:extLst>
        </xdr:cNvPr>
        <xdr:cNvSpPr/>
      </xdr:nvSpPr>
      <xdr:spPr>
        <a:xfrm>
          <a:off x="559556" y="7659904"/>
          <a:ext cx="2236984" cy="235686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400"/>
        </a:p>
      </xdr:txBody>
    </xdr:sp>
    <xdr:clientData/>
  </xdr:twoCellAnchor>
  <xdr:twoCellAnchor editAs="absolute">
    <xdr:from>
      <xdr:col>1</xdr:col>
      <xdr:colOff>95250</xdr:colOff>
      <xdr:row>44</xdr:row>
      <xdr:rowOff>94053</xdr:rowOff>
    </xdr:from>
    <xdr:to>
      <xdr:col>6</xdr:col>
      <xdr:colOff>1678</xdr:colOff>
      <xdr:row>46</xdr:row>
      <xdr:rowOff>22785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DE01327E-B4A5-4F3A-9E7C-E220C0A40697}"/>
            </a:ext>
          </a:extLst>
        </xdr:cNvPr>
        <xdr:cNvSpPr/>
      </xdr:nvSpPr>
      <xdr:spPr>
        <a:xfrm>
          <a:off x="596265" y="7704528"/>
          <a:ext cx="1840003" cy="185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TOTALES:</a:t>
          </a:r>
        </a:p>
      </xdr:txBody>
    </xdr:sp>
    <xdr:clientData/>
  </xdr:twoCellAnchor>
  <xdr:twoCellAnchor editAs="absolute">
    <xdr:from>
      <xdr:col>1</xdr:col>
      <xdr:colOff>39371</xdr:colOff>
      <xdr:row>47</xdr:row>
      <xdr:rowOff>59527</xdr:rowOff>
    </xdr:from>
    <xdr:to>
      <xdr:col>5</xdr:col>
      <xdr:colOff>549684</xdr:colOff>
      <xdr:row>48</xdr:row>
      <xdr:rowOff>59386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8645FE90-E3AD-4752-850C-52B5D31A7447}"/>
            </a:ext>
          </a:extLst>
        </xdr:cNvPr>
        <xdr:cNvSpPr/>
      </xdr:nvSpPr>
      <xdr:spPr>
        <a:xfrm>
          <a:off x="549911" y="8010997"/>
          <a:ext cx="1840003" cy="1751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 A PAGAR:</a:t>
          </a:r>
        </a:p>
      </xdr:txBody>
    </xdr:sp>
    <xdr:clientData/>
  </xdr:twoCellAnchor>
  <xdr:twoCellAnchor editAs="absolute">
    <xdr:from>
      <xdr:col>9</xdr:col>
      <xdr:colOff>19897</xdr:colOff>
      <xdr:row>47</xdr:row>
      <xdr:rowOff>21727</xdr:rowOff>
    </xdr:from>
    <xdr:to>
      <xdr:col>19</xdr:col>
      <xdr:colOff>72390</xdr:colOff>
      <xdr:row>48</xdr:row>
      <xdr:rowOff>54607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E87ABEED-1D67-4CFD-B62F-E498E1C6FCB3}"/>
            </a:ext>
          </a:extLst>
        </xdr:cNvPr>
        <xdr:cNvSpPr/>
      </xdr:nvSpPr>
      <xdr:spPr>
        <a:xfrm>
          <a:off x="3132667" y="7965577"/>
          <a:ext cx="3393863" cy="20814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-=</a:t>
          </a:r>
        </a:p>
      </xdr:txBody>
    </xdr:sp>
    <xdr:clientData/>
  </xdr:twoCellAnchor>
  <xdr:twoCellAnchor editAs="absolute">
    <xdr:from>
      <xdr:col>1</xdr:col>
      <xdr:colOff>1838</xdr:colOff>
      <xdr:row>7</xdr:row>
      <xdr:rowOff>20828</xdr:rowOff>
    </xdr:from>
    <xdr:to>
      <xdr:col>2</xdr:col>
      <xdr:colOff>34290</xdr:colOff>
      <xdr:row>7</xdr:row>
      <xdr:rowOff>174651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0FB3E5A6-B28F-45F4-ADA7-C3EAE17502C7}"/>
            </a:ext>
          </a:extLst>
        </xdr:cNvPr>
        <xdr:cNvSpPr/>
      </xdr:nvSpPr>
      <xdr:spPr>
        <a:xfrm>
          <a:off x="512378" y="1409573"/>
          <a:ext cx="520132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1837</xdr:colOff>
      <xdr:row>8</xdr:row>
      <xdr:rowOff>56198</xdr:rowOff>
    </xdr:from>
    <xdr:to>
      <xdr:col>3</xdr:col>
      <xdr:colOff>93662</xdr:colOff>
      <xdr:row>8</xdr:row>
      <xdr:rowOff>173831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13137DC2-140E-4E3E-AFF6-1217C75EF565}"/>
            </a:ext>
          </a:extLst>
        </xdr:cNvPr>
        <xdr:cNvSpPr/>
      </xdr:nvSpPr>
      <xdr:spPr>
        <a:xfrm>
          <a:off x="512377" y="1675448"/>
          <a:ext cx="771910" cy="13287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NOMBRE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1838</xdr:colOff>
      <xdr:row>9</xdr:row>
      <xdr:rowOff>55731</xdr:rowOff>
    </xdr:from>
    <xdr:to>
      <xdr:col>5</xdr:col>
      <xdr:colOff>96066</xdr:colOff>
      <xdr:row>10</xdr:row>
      <xdr:rowOff>3602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B1E2FC90-A4FC-425E-9BCF-600724234FE3}"/>
            </a:ext>
          </a:extLst>
        </xdr:cNvPr>
        <xdr:cNvSpPr/>
      </xdr:nvSpPr>
      <xdr:spPr>
        <a:xfrm>
          <a:off x="512378" y="1894056"/>
          <a:ext cx="1416298" cy="15170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FECHA DE INGRESO:</a:t>
          </a:r>
        </a:p>
      </xdr:txBody>
    </xdr:sp>
    <xdr:clientData/>
  </xdr:twoCellAnchor>
  <xdr:twoCellAnchor editAs="absolute">
    <xdr:from>
      <xdr:col>1</xdr:col>
      <xdr:colOff>1838</xdr:colOff>
      <xdr:row>10</xdr:row>
      <xdr:rowOff>54932</xdr:rowOff>
    </xdr:from>
    <xdr:to>
      <xdr:col>3</xdr:col>
      <xdr:colOff>2993</xdr:colOff>
      <xdr:row>11</xdr:row>
      <xdr:rowOff>1110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2BFAEDA8-9626-4912-B1ED-6F055AD0403B}"/>
            </a:ext>
          </a:extLst>
        </xdr:cNvPr>
        <xdr:cNvSpPr/>
      </xdr:nvSpPr>
      <xdr:spPr>
        <a:xfrm>
          <a:off x="512378" y="2093282"/>
          <a:ext cx="671715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CARGO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15240</xdr:colOff>
      <xdr:row>12</xdr:row>
      <xdr:rowOff>17145</xdr:rowOff>
    </xdr:from>
    <xdr:to>
      <xdr:col>5</xdr:col>
      <xdr:colOff>578816</xdr:colOff>
      <xdr:row>13</xdr:row>
      <xdr:rowOff>320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60D63953-F3DA-444C-8515-0ED57F6B6F38}"/>
            </a:ext>
          </a:extLst>
        </xdr:cNvPr>
        <xdr:cNvSpPr/>
      </xdr:nvSpPr>
      <xdr:spPr>
        <a:xfrm>
          <a:off x="514350" y="2604135"/>
          <a:ext cx="1898981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TRABAJADOS:</a:t>
          </a:r>
        </a:p>
      </xdr:txBody>
    </xdr:sp>
    <xdr:clientData/>
  </xdr:twoCellAnchor>
  <xdr:twoCellAnchor editAs="absolute">
    <xdr:from>
      <xdr:col>7</xdr:col>
      <xdr:colOff>17962</xdr:colOff>
      <xdr:row>12</xdr:row>
      <xdr:rowOff>17145</xdr:rowOff>
    </xdr:from>
    <xdr:to>
      <xdr:col>13</xdr:col>
      <xdr:colOff>15979</xdr:colOff>
      <xdr:row>13</xdr:row>
      <xdr:rowOff>320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6ACD34CE-3DAF-40F0-B517-9815A346F7F1}"/>
            </a:ext>
          </a:extLst>
        </xdr:cNvPr>
        <xdr:cNvSpPr/>
      </xdr:nvSpPr>
      <xdr:spPr>
        <a:xfrm>
          <a:off x="2543992" y="2604135"/>
          <a:ext cx="1925877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LICENCIA:</a:t>
          </a:r>
        </a:p>
      </xdr:txBody>
    </xdr:sp>
    <xdr:clientData/>
  </xdr:twoCellAnchor>
  <xdr:twoCellAnchor editAs="absolute">
    <xdr:from>
      <xdr:col>14</xdr:col>
      <xdr:colOff>35742</xdr:colOff>
      <xdr:row>12</xdr:row>
      <xdr:rowOff>17145</xdr:rowOff>
    </xdr:from>
    <xdr:to>
      <xdr:col>18</xdr:col>
      <xdr:colOff>416982</xdr:colOff>
      <xdr:row>13</xdr:row>
      <xdr:rowOff>320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13192052-91FC-4D75-8C5A-D627111B1FFA}"/>
            </a:ext>
          </a:extLst>
        </xdr:cNvPr>
        <xdr:cNvSpPr/>
      </xdr:nvSpPr>
      <xdr:spPr>
        <a:xfrm>
          <a:off x="4592502" y="2604135"/>
          <a:ext cx="1844280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AUSENCIA:</a:t>
          </a:r>
        </a:p>
      </xdr:txBody>
    </xdr:sp>
    <xdr:clientData/>
  </xdr:twoCellAnchor>
  <xdr:twoCellAnchor editAs="absolute">
    <xdr:from>
      <xdr:col>1</xdr:col>
      <xdr:colOff>15240</xdr:colOff>
      <xdr:row>14</xdr:row>
      <xdr:rowOff>19050</xdr:rowOff>
    </xdr:from>
    <xdr:to>
      <xdr:col>5</xdr:col>
      <xdr:colOff>578816</xdr:colOff>
      <xdr:row>15</xdr:row>
      <xdr:rowOff>265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D83CA8CA-D765-421B-9DEF-656D18E80E47}"/>
            </a:ext>
          </a:extLst>
        </xdr:cNvPr>
        <xdr:cNvSpPr/>
      </xdr:nvSpPr>
      <xdr:spPr>
        <a:xfrm>
          <a:off x="514350" y="2897505"/>
          <a:ext cx="1898981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7</xdr:col>
      <xdr:colOff>17962</xdr:colOff>
      <xdr:row>14</xdr:row>
      <xdr:rowOff>19050</xdr:rowOff>
    </xdr:from>
    <xdr:to>
      <xdr:col>13</xdr:col>
      <xdr:colOff>15979</xdr:colOff>
      <xdr:row>15</xdr:row>
      <xdr:rowOff>265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A2CC010E-2AC0-477F-AC34-0D28F4A0DAFE}"/>
            </a:ext>
          </a:extLst>
        </xdr:cNvPr>
        <xdr:cNvSpPr/>
      </xdr:nvSpPr>
      <xdr:spPr>
        <a:xfrm>
          <a:off x="2543992" y="2897505"/>
          <a:ext cx="192587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14</xdr:col>
      <xdr:colOff>19125</xdr:colOff>
      <xdr:row>14</xdr:row>
      <xdr:rowOff>19050</xdr:rowOff>
    </xdr:from>
    <xdr:to>
      <xdr:col>18</xdr:col>
      <xdr:colOff>418887</xdr:colOff>
      <xdr:row>15</xdr:row>
      <xdr:rowOff>265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783FDBF1-8FD8-48BB-9374-0879B2F9A121}"/>
            </a:ext>
          </a:extLst>
        </xdr:cNvPr>
        <xdr:cNvSpPr/>
      </xdr:nvSpPr>
      <xdr:spPr>
        <a:xfrm>
          <a:off x="4566360" y="2897505"/>
          <a:ext cx="187232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</xdr:col>
      <xdr:colOff>15240</xdr:colOff>
      <xdr:row>16</xdr:row>
      <xdr:rowOff>169545</xdr:rowOff>
    </xdr:from>
    <xdr:to>
      <xdr:col>7</xdr:col>
      <xdr:colOff>454207</xdr:colOff>
      <xdr:row>18</xdr:row>
      <xdr:rowOff>20850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D5A07D43-E649-4F95-BEA0-AA00223F45F4}"/>
            </a:ext>
          </a:extLst>
        </xdr:cNvPr>
        <xdr:cNvSpPr/>
      </xdr:nvSpPr>
      <xdr:spPr>
        <a:xfrm>
          <a:off x="514350" y="3547110"/>
          <a:ext cx="2469697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DETALLE:</a:t>
          </a:r>
        </a:p>
      </xdr:txBody>
    </xdr:sp>
    <xdr:clientData/>
  </xdr:twoCellAnchor>
  <xdr:twoCellAnchor editAs="absolute">
    <xdr:from>
      <xdr:col>8</xdr:col>
      <xdr:colOff>78921</xdr:colOff>
      <xdr:row>16</xdr:row>
      <xdr:rowOff>169545</xdr:rowOff>
    </xdr:from>
    <xdr:to>
      <xdr:col>13</xdr:col>
      <xdr:colOff>1607</xdr:colOff>
      <xdr:row>18</xdr:row>
      <xdr:rowOff>20850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1EE7BBBA-3886-4317-917A-8C764C1F1D16}"/>
            </a:ext>
          </a:extLst>
        </xdr:cNvPr>
        <xdr:cNvSpPr/>
      </xdr:nvSpPr>
      <xdr:spPr>
        <a:xfrm>
          <a:off x="3088821" y="3547110"/>
          <a:ext cx="1378106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HABERES:</a:t>
          </a:r>
        </a:p>
      </xdr:txBody>
    </xdr:sp>
    <xdr:clientData/>
  </xdr:twoCellAnchor>
  <xdr:twoCellAnchor editAs="absolute">
    <xdr:from>
      <xdr:col>14</xdr:col>
      <xdr:colOff>1980</xdr:colOff>
      <xdr:row>16</xdr:row>
      <xdr:rowOff>169545</xdr:rowOff>
    </xdr:from>
    <xdr:to>
      <xdr:col>19</xdr:col>
      <xdr:colOff>921</xdr:colOff>
      <xdr:row>18</xdr:row>
      <xdr:rowOff>20850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C0741522-F86B-4C3A-80E6-D6D16180F55D}"/>
            </a:ext>
          </a:extLst>
        </xdr:cNvPr>
        <xdr:cNvSpPr/>
      </xdr:nvSpPr>
      <xdr:spPr>
        <a:xfrm>
          <a:off x="4558740" y="3547110"/>
          <a:ext cx="1896321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DESCUENTO:</a:t>
          </a:r>
        </a:p>
      </xdr:txBody>
    </xdr:sp>
    <xdr:clientData/>
  </xdr:twoCellAnchor>
  <xdr:twoCellAnchor editAs="absolute">
    <xdr:from>
      <xdr:col>10</xdr:col>
      <xdr:colOff>110634</xdr:colOff>
      <xdr:row>7</xdr:row>
      <xdr:rowOff>20828</xdr:rowOff>
    </xdr:from>
    <xdr:to>
      <xdr:col>15</xdr:col>
      <xdr:colOff>3514</xdr:colOff>
      <xdr:row>7</xdr:row>
      <xdr:rowOff>174651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31A0DFC4-9A8C-412C-B384-5143A7DDCD58}"/>
            </a:ext>
          </a:extLst>
        </xdr:cNvPr>
        <xdr:cNvSpPr/>
      </xdr:nvSpPr>
      <xdr:spPr>
        <a:xfrm>
          <a:off x="3501534" y="1409573"/>
          <a:ext cx="1150180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RAZÓN SOCIAL: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8</xdr:row>
      <xdr:rowOff>56838</xdr:rowOff>
    </xdr:from>
    <xdr:to>
      <xdr:col>11</xdr:col>
      <xdr:colOff>472939</xdr:colOff>
      <xdr:row>9</xdr:row>
      <xdr:rowOff>1111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A409CBDD-E84F-4672-B9D7-CD7A1E7F4214}"/>
            </a:ext>
          </a:extLst>
        </xdr:cNvPr>
        <xdr:cNvSpPr/>
      </xdr:nvSpPr>
      <xdr:spPr>
        <a:xfrm>
          <a:off x="3501535" y="1693233"/>
          <a:ext cx="480414" cy="13667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9</xdr:row>
      <xdr:rowOff>60416</xdr:rowOff>
    </xdr:from>
    <xdr:to>
      <xdr:col>12</xdr:col>
      <xdr:colOff>282439</xdr:colOff>
      <xdr:row>10</xdr:row>
      <xdr:rowOff>3602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3E240048-F234-4ECC-89B6-C125A7B34086}"/>
            </a:ext>
          </a:extLst>
        </xdr:cNvPr>
        <xdr:cNvSpPr/>
      </xdr:nvSpPr>
      <xdr:spPr>
        <a:xfrm>
          <a:off x="3501535" y="1896836"/>
          <a:ext cx="914754" cy="14892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DIRECCIÓN:</a:t>
          </a:r>
        </a:p>
      </xdr:txBody>
    </xdr:sp>
    <xdr:clientData/>
  </xdr:twoCellAnchor>
  <xdr:twoCellAnchor editAs="absolute">
    <xdr:from>
      <xdr:col>10</xdr:col>
      <xdr:colOff>110635</xdr:colOff>
      <xdr:row>10</xdr:row>
      <xdr:rowOff>54932</xdr:rowOff>
    </xdr:from>
    <xdr:to>
      <xdr:col>11</xdr:col>
      <xdr:colOff>608194</xdr:colOff>
      <xdr:row>11</xdr:row>
      <xdr:rowOff>1110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955F648E-C956-4E47-B84C-C8A6E5DDF82E}"/>
            </a:ext>
          </a:extLst>
        </xdr:cNvPr>
        <xdr:cNvSpPr/>
      </xdr:nvSpPr>
      <xdr:spPr>
        <a:xfrm>
          <a:off x="3501535" y="2093282"/>
          <a:ext cx="611859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EMAIL: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359797</xdr:colOff>
      <xdr:row>2</xdr:row>
      <xdr:rowOff>8245</xdr:rowOff>
    </xdr:from>
    <xdr:to>
      <xdr:col>15</xdr:col>
      <xdr:colOff>302812</xdr:colOff>
      <xdr:row>2</xdr:row>
      <xdr:rowOff>181427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2192F9FC-5A52-4AE1-8F78-97D0FFF25160}"/>
            </a:ext>
          </a:extLst>
        </xdr:cNvPr>
        <xdr:cNvSpPr/>
      </xdr:nvSpPr>
      <xdr:spPr>
        <a:xfrm>
          <a:off x="1838077" y="374005"/>
          <a:ext cx="3120555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accent1">
                  <a:lumMod val="75000"/>
                </a:schemeClr>
              </a:solidFill>
            </a:rPr>
            <a:t>LIQUIDACIÓN DE SUELDO</a:t>
          </a:r>
          <a:r>
            <a:rPr lang="es-CL" sz="1400" b="1" baseline="0">
              <a:solidFill>
                <a:schemeClr val="accent1">
                  <a:lumMod val="75000"/>
                </a:schemeClr>
              </a:solidFill>
            </a:rPr>
            <a:t> MENSUAL</a:t>
          </a:r>
          <a:endParaRPr lang="es-CL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64976</xdr:colOff>
      <xdr:row>53</xdr:row>
      <xdr:rowOff>8250</xdr:rowOff>
    </xdr:from>
    <xdr:to>
      <xdr:col>18</xdr:col>
      <xdr:colOff>242662</xdr:colOff>
      <xdr:row>53</xdr:row>
      <xdr:rowOff>181432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ADFE4561-C9DB-4628-AC59-33D9E654961A}"/>
            </a:ext>
          </a:extLst>
        </xdr:cNvPr>
        <xdr:cNvSpPr/>
      </xdr:nvSpPr>
      <xdr:spPr>
        <a:xfrm>
          <a:off x="4720796" y="9015090"/>
          <a:ext cx="1541666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50" b="1">
              <a:solidFill>
                <a:schemeClr val="accent1">
                  <a:lumMod val="75000"/>
                </a:schemeClr>
              </a:solidFill>
              <a:latin typeface="Raleway" panose="020B0503030101060003" pitchFamily="34" charset="0"/>
            </a:rPr>
            <a:t>FIRMA TRABAJADOR</a:t>
          </a:r>
        </a:p>
      </xdr:txBody>
    </xdr:sp>
    <xdr:clientData/>
  </xdr:twoCellAnchor>
  <xdr:twoCellAnchor>
    <xdr:from>
      <xdr:col>13</xdr:col>
      <xdr:colOff>54429</xdr:colOff>
      <xdr:row>52</xdr:row>
      <xdr:rowOff>63500</xdr:rowOff>
    </xdr:from>
    <xdr:to>
      <xdr:col>18</xdr:col>
      <xdr:colOff>411159</xdr:colOff>
      <xdr:row>52</xdr:row>
      <xdr:rowOff>63500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CCE6DBBA-3BAD-4C26-A498-F23D4F76CB1B}"/>
            </a:ext>
          </a:extLst>
        </xdr:cNvPr>
        <xdr:cNvCxnSpPr/>
      </xdr:nvCxnSpPr>
      <xdr:spPr>
        <a:xfrm>
          <a:off x="4519749" y="8887460"/>
          <a:ext cx="1911210" cy="0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20107</xdr:colOff>
      <xdr:row>25</xdr:row>
      <xdr:rowOff>19687</xdr:rowOff>
    </xdr:from>
    <xdr:to>
      <xdr:col>7</xdr:col>
      <xdr:colOff>399415</xdr:colOff>
      <xdr:row>26</xdr:row>
      <xdr:rowOff>17357</xdr:rowOff>
    </xdr:to>
    <xdr:sp macro="" textlink="">
      <xdr:nvSpPr>
        <xdr:cNvPr id="53" name="Shape 19">
          <a:extLst>
            <a:ext uri="{FF2B5EF4-FFF2-40B4-BE49-F238E27FC236}">
              <a16:creationId xmlns:a16="http://schemas.microsoft.com/office/drawing/2014/main" id="{C99564CD-3CD5-4715-A9AD-3FC945665125}"/>
            </a:ext>
          </a:extLst>
        </xdr:cNvPr>
        <xdr:cNvSpPr/>
      </xdr:nvSpPr>
      <xdr:spPr>
        <a:xfrm>
          <a:off x="521122" y="4785997"/>
          <a:ext cx="2421468" cy="2034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317</xdr:colOff>
      <xdr:row>25</xdr:row>
      <xdr:rowOff>16722</xdr:rowOff>
    </xdr:from>
    <xdr:to>
      <xdr:col>13</xdr:col>
      <xdr:colOff>2540</xdr:colOff>
      <xdr:row>25</xdr:row>
      <xdr:rowOff>189549</xdr:rowOff>
    </xdr:to>
    <xdr:sp macro="" textlink="">
      <xdr:nvSpPr>
        <xdr:cNvPr id="54" name="Shape 19">
          <a:extLst>
            <a:ext uri="{FF2B5EF4-FFF2-40B4-BE49-F238E27FC236}">
              <a16:creationId xmlns:a16="http://schemas.microsoft.com/office/drawing/2014/main" id="{63582937-9BD1-4CB2-807D-EF1596B49576}"/>
            </a:ext>
          </a:extLst>
        </xdr:cNvPr>
        <xdr:cNvSpPr/>
      </xdr:nvSpPr>
      <xdr:spPr>
        <a:xfrm>
          <a:off x="3105467" y="4775412"/>
          <a:ext cx="1362393" cy="18425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73550</xdr:colOff>
      <xdr:row>25</xdr:row>
      <xdr:rowOff>17357</xdr:rowOff>
    </xdr:from>
    <xdr:to>
      <xdr:col>19</xdr:col>
      <xdr:colOff>20528</xdr:colOff>
      <xdr:row>26</xdr:row>
      <xdr:rowOff>18219</xdr:rowOff>
    </xdr:to>
    <xdr:sp macro="" textlink="">
      <xdr:nvSpPr>
        <xdr:cNvPr id="55" name="Shape 19">
          <a:extLst>
            <a:ext uri="{FF2B5EF4-FFF2-40B4-BE49-F238E27FC236}">
              <a16:creationId xmlns:a16="http://schemas.microsoft.com/office/drawing/2014/main" id="{3058DF6F-4FFD-4EBB-832C-7D7ADBF92617}"/>
            </a:ext>
          </a:extLst>
        </xdr:cNvPr>
        <xdr:cNvSpPr/>
      </xdr:nvSpPr>
      <xdr:spPr>
        <a:xfrm>
          <a:off x="4630310" y="4791287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55563</xdr:colOff>
      <xdr:row>1</xdr:row>
      <xdr:rowOff>79377</xdr:rowOff>
    </xdr:from>
    <xdr:to>
      <xdr:col>5</xdr:col>
      <xdr:colOff>148593</xdr:colOff>
      <xdr:row>3</xdr:row>
      <xdr:rowOff>136210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74A29434-180F-43AA-8D4B-8A2153EDA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03" y="262257"/>
          <a:ext cx="1418910" cy="494983"/>
        </a:xfrm>
        <a:prstGeom prst="rect">
          <a:avLst/>
        </a:prstGeom>
      </xdr:spPr>
    </xdr:pic>
    <xdr:clientData/>
  </xdr:twoCellAnchor>
  <xdr:twoCellAnchor editAs="absolute">
    <xdr:from>
      <xdr:col>1</xdr:col>
      <xdr:colOff>17356</xdr:colOff>
      <xdr:row>26</xdr:row>
      <xdr:rowOff>59690</xdr:rowOff>
    </xdr:from>
    <xdr:to>
      <xdr:col>7</xdr:col>
      <xdr:colOff>434764</xdr:colOff>
      <xdr:row>27</xdr:row>
      <xdr:rowOff>173776</xdr:rowOff>
    </xdr:to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7DB8C4BB-C30F-403F-B902-02AE946B1BB6}"/>
            </a:ext>
          </a:extLst>
        </xdr:cNvPr>
        <xdr:cNvSpPr/>
      </xdr:nvSpPr>
      <xdr:spPr>
        <a:xfrm>
          <a:off x="531706" y="503174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59691</xdr:colOff>
      <xdr:row>27</xdr:row>
      <xdr:rowOff>0</xdr:rowOff>
    </xdr:from>
    <xdr:to>
      <xdr:col>13</xdr:col>
      <xdr:colOff>531</xdr:colOff>
      <xdr:row>28</xdr:row>
      <xdr:rowOff>20108</xdr:rowOff>
    </xdr:to>
    <xdr:sp macro="" textlink="">
      <xdr:nvSpPr>
        <xdr:cNvPr id="58" name="Shape 19">
          <a:extLst>
            <a:ext uri="{FF2B5EF4-FFF2-40B4-BE49-F238E27FC236}">
              <a16:creationId xmlns:a16="http://schemas.microsoft.com/office/drawing/2014/main" id="{20B6D9A1-AD4B-48AB-81D1-826396B1108C}"/>
            </a:ext>
          </a:extLst>
        </xdr:cNvPr>
        <xdr:cNvSpPr/>
      </xdr:nvSpPr>
      <xdr:spPr>
        <a:xfrm>
          <a:off x="3073401" y="504444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74084</xdr:colOff>
      <xdr:row>27</xdr:row>
      <xdr:rowOff>0</xdr:rowOff>
    </xdr:from>
    <xdr:to>
      <xdr:col>19</xdr:col>
      <xdr:colOff>21062</xdr:colOff>
      <xdr:row>28</xdr:row>
      <xdr:rowOff>862</xdr:rowOff>
    </xdr:to>
    <xdr:sp macro="" textlink="">
      <xdr:nvSpPr>
        <xdr:cNvPr id="59" name="Shape 19">
          <a:extLst>
            <a:ext uri="{FF2B5EF4-FFF2-40B4-BE49-F238E27FC236}">
              <a16:creationId xmlns:a16="http://schemas.microsoft.com/office/drawing/2014/main" id="{57310922-4EC3-446B-AB34-061FD843DED4}"/>
            </a:ext>
          </a:extLst>
        </xdr:cNvPr>
        <xdr:cNvSpPr/>
      </xdr:nvSpPr>
      <xdr:spPr>
        <a:xfrm>
          <a:off x="4630844" y="504444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29</xdr:row>
      <xdr:rowOff>19685</xdr:rowOff>
    </xdr:from>
    <xdr:to>
      <xdr:col>7</xdr:col>
      <xdr:colOff>398358</xdr:colOff>
      <xdr:row>30</xdr:row>
      <xdr:rowOff>20741</xdr:rowOff>
    </xdr:to>
    <xdr:sp macro="" textlink="">
      <xdr:nvSpPr>
        <xdr:cNvPr id="60" name="Shape 19">
          <a:extLst>
            <a:ext uri="{FF2B5EF4-FFF2-40B4-BE49-F238E27FC236}">
              <a16:creationId xmlns:a16="http://schemas.microsoft.com/office/drawing/2014/main" id="{227A8241-30F1-45B3-BA17-79C28FB710EE}"/>
            </a:ext>
          </a:extLst>
        </xdr:cNvPr>
        <xdr:cNvSpPr/>
      </xdr:nvSpPr>
      <xdr:spPr>
        <a:xfrm>
          <a:off x="510540" y="530225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29</xdr:row>
      <xdr:rowOff>16510</xdr:rowOff>
    </xdr:from>
    <xdr:to>
      <xdr:col>13</xdr:col>
      <xdr:colOff>36090</xdr:colOff>
      <xdr:row>30</xdr:row>
      <xdr:rowOff>19473</xdr:rowOff>
    </xdr:to>
    <xdr:sp macro="" textlink="">
      <xdr:nvSpPr>
        <xdr:cNvPr id="61" name="Shape 19">
          <a:extLst>
            <a:ext uri="{FF2B5EF4-FFF2-40B4-BE49-F238E27FC236}">
              <a16:creationId xmlns:a16="http://schemas.microsoft.com/office/drawing/2014/main" id="{BA679CFA-884D-4C06-B0BF-EC9A773ECA96}"/>
            </a:ext>
          </a:extLst>
        </xdr:cNvPr>
        <xdr:cNvSpPr/>
      </xdr:nvSpPr>
      <xdr:spPr>
        <a:xfrm>
          <a:off x="3108960" y="53086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20108</xdr:colOff>
      <xdr:row>29</xdr:row>
      <xdr:rowOff>0</xdr:rowOff>
    </xdr:from>
    <xdr:to>
      <xdr:col>19</xdr:col>
      <xdr:colOff>56621</xdr:colOff>
      <xdr:row>30</xdr:row>
      <xdr:rowOff>862</xdr:rowOff>
    </xdr:to>
    <xdr:sp macro="" textlink="">
      <xdr:nvSpPr>
        <xdr:cNvPr id="62" name="Shape 19">
          <a:extLst>
            <a:ext uri="{FF2B5EF4-FFF2-40B4-BE49-F238E27FC236}">
              <a16:creationId xmlns:a16="http://schemas.microsoft.com/office/drawing/2014/main" id="{02F26731-2D08-4D83-B139-8D8C73A84558}"/>
            </a:ext>
          </a:extLst>
        </xdr:cNvPr>
        <xdr:cNvSpPr/>
      </xdr:nvSpPr>
      <xdr:spPr>
        <a:xfrm>
          <a:off x="4666403" y="529590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31</xdr:row>
      <xdr:rowOff>0</xdr:rowOff>
    </xdr:from>
    <xdr:to>
      <xdr:col>7</xdr:col>
      <xdr:colOff>398358</xdr:colOff>
      <xdr:row>32</xdr:row>
      <xdr:rowOff>1056</xdr:rowOff>
    </xdr:to>
    <xdr:sp macro="" textlink="">
      <xdr:nvSpPr>
        <xdr:cNvPr id="63" name="Shape 19">
          <a:extLst>
            <a:ext uri="{FF2B5EF4-FFF2-40B4-BE49-F238E27FC236}">
              <a16:creationId xmlns:a16="http://schemas.microsoft.com/office/drawing/2014/main" id="{A38F6C62-9D28-43EF-9393-1F5788548B9B}"/>
            </a:ext>
          </a:extLst>
        </xdr:cNvPr>
        <xdr:cNvSpPr/>
      </xdr:nvSpPr>
      <xdr:spPr>
        <a:xfrm>
          <a:off x="510540" y="560070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31</xdr:row>
      <xdr:rowOff>0</xdr:rowOff>
    </xdr:from>
    <xdr:to>
      <xdr:col>13</xdr:col>
      <xdr:colOff>36090</xdr:colOff>
      <xdr:row>32</xdr:row>
      <xdr:rowOff>20108</xdr:rowOff>
    </xdr:to>
    <xdr:sp macro="" textlink="">
      <xdr:nvSpPr>
        <xdr:cNvPr id="64" name="Shape 19">
          <a:extLst>
            <a:ext uri="{FF2B5EF4-FFF2-40B4-BE49-F238E27FC236}">
              <a16:creationId xmlns:a16="http://schemas.microsoft.com/office/drawing/2014/main" id="{E0EB925B-05BF-4746-9FF3-D79F991CB79A}"/>
            </a:ext>
          </a:extLst>
        </xdr:cNvPr>
        <xdr:cNvSpPr/>
      </xdr:nvSpPr>
      <xdr:spPr>
        <a:xfrm>
          <a:off x="3108960" y="56007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635</xdr:colOff>
      <xdr:row>31</xdr:row>
      <xdr:rowOff>0</xdr:rowOff>
    </xdr:from>
    <xdr:to>
      <xdr:col>19</xdr:col>
      <xdr:colOff>17463</xdr:colOff>
      <xdr:row>32</xdr:row>
      <xdr:rowOff>862</xdr:rowOff>
    </xdr:to>
    <xdr:sp macro="" textlink="">
      <xdr:nvSpPr>
        <xdr:cNvPr id="65" name="Shape 19">
          <a:extLst>
            <a:ext uri="{FF2B5EF4-FFF2-40B4-BE49-F238E27FC236}">
              <a16:creationId xmlns:a16="http://schemas.microsoft.com/office/drawing/2014/main" id="{702F68FD-6B1A-4E99-B494-FCC0C7D28417}"/>
            </a:ext>
          </a:extLst>
        </xdr:cNvPr>
        <xdr:cNvSpPr/>
      </xdr:nvSpPr>
      <xdr:spPr>
        <a:xfrm>
          <a:off x="4639310" y="5600700"/>
          <a:ext cx="184562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500063</xdr:colOff>
      <xdr:row>53</xdr:row>
      <xdr:rowOff>174625</xdr:rowOff>
    </xdr:from>
    <xdr:to>
      <xdr:col>19</xdr:col>
      <xdr:colOff>113770</xdr:colOff>
      <xdr:row>60</xdr:row>
      <xdr:rowOff>131966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3EDA3C-69EA-4AEF-B3C7-0475803178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6"/>
        <a:stretch/>
      </xdr:blipFill>
      <xdr:spPr>
        <a:xfrm>
          <a:off x="500063" y="9181465"/>
          <a:ext cx="6067847" cy="124893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93210</xdr:colOff>
      <xdr:row>12</xdr:row>
      <xdr:rowOff>36880</xdr:rowOff>
    </xdr:from>
    <xdr:to>
      <xdr:col>12</xdr:col>
      <xdr:colOff>209097</xdr:colOff>
      <xdr:row>13</xdr:row>
      <xdr:rowOff>1357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11AEF42-4466-41DB-B475-96A1C3A0A7EF}"/>
            </a:ext>
          </a:extLst>
        </xdr:cNvPr>
        <xdr:cNvSpPr/>
      </xdr:nvSpPr>
      <xdr:spPr>
        <a:xfrm>
          <a:off x="2613525" y="2627680"/>
          <a:ext cx="1740852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LICENCIA</a:t>
          </a:r>
        </a:p>
      </xdr:txBody>
    </xdr:sp>
    <xdr:clientData/>
  </xdr:twoCellAnchor>
  <xdr:twoCellAnchor editAs="absolute">
    <xdr:from>
      <xdr:col>15</xdr:col>
      <xdr:colOff>500</xdr:colOff>
      <xdr:row>12</xdr:row>
      <xdr:rowOff>36880</xdr:rowOff>
    </xdr:from>
    <xdr:to>
      <xdr:col>18</xdr:col>
      <xdr:colOff>345305</xdr:colOff>
      <xdr:row>13</xdr:row>
      <xdr:rowOff>1357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3929F2C4-E48B-4FC7-B4B0-C41E7918C2F6}"/>
            </a:ext>
          </a:extLst>
        </xdr:cNvPr>
        <xdr:cNvSpPr/>
      </xdr:nvSpPr>
      <xdr:spPr>
        <a:xfrm>
          <a:off x="4644890" y="2627680"/>
          <a:ext cx="1720215" cy="2026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</a:t>
          </a:r>
          <a:r>
            <a:rPr lang="es-CL" sz="1100" b="1" baseline="0"/>
            <a:t> </a:t>
          </a:r>
          <a:r>
            <a:rPr lang="es-CL" sz="1100" b="1"/>
            <a:t>AUSENCIA</a:t>
          </a:r>
        </a:p>
      </xdr:txBody>
    </xdr:sp>
    <xdr:clientData/>
  </xdr:twoCellAnchor>
  <xdr:twoCellAnchor editAs="absolute">
    <xdr:from>
      <xdr:col>1</xdr:col>
      <xdr:colOff>364808</xdr:colOff>
      <xdr:row>17</xdr:row>
      <xdr:rowOff>2007</xdr:rowOff>
    </xdr:from>
    <xdr:to>
      <xdr:col>7</xdr:col>
      <xdr:colOff>74160</xdr:colOff>
      <xdr:row>18</xdr:row>
      <xdr:rowOff>542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A21D909-D67F-4287-8E96-30519442E810}"/>
            </a:ext>
          </a:extLst>
        </xdr:cNvPr>
        <xdr:cNvSpPr/>
      </xdr:nvSpPr>
      <xdr:spPr>
        <a:xfrm>
          <a:off x="867728" y="3552927"/>
          <a:ext cx="1736272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DETALLES:</a:t>
          </a:r>
        </a:p>
      </xdr:txBody>
    </xdr:sp>
    <xdr:clientData/>
  </xdr:twoCellAnchor>
  <xdr:twoCellAnchor editAs="absolute">
    <xdr:from>
      <xdr:col>7</xdr:col>
      <xdr:colOff>361815</xdr:colOff>
      <xdr:row>17</xdr:row>
      <xdr:rowOff>407</xdr:rowOff>
    </xdr:from>
    <xdr:to>
      <xdr:col>15</xdr:col>
      <xdr:colOff>2405</xdr:colOff>
      <xdr:row>17</xdr:row>
      <xdr:rowOff>191042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6A3A2E6-0842-487B-B997-285C9F7B949D}"/>
            </a:ext>
          </a:extLst>
        </xdr:cNvPr>
        <xdr:cNvSpPr/>
      </xdr:nvSpPr>
      <xdr:spPr>
        <a:xfrm>
          <a:off x="2899275" y="3549422"/>
          <a:ext cx="1758950" cy="192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HABERES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15</xdr:col>
      <xdr:colOff>2405</xdr:colOff>
      <xdr:row>17</xdr:row>
      <xdr:rowOff>2008</xdr:rowOff>
    </xdr:from>
    <xdr:to>
      <xdr:col>18</xdr:col>
      <xdr:colOff>362450</xdr:colOff>
      <xdr:row>18</xdr:row>
      <xdr:rowOff>543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E4B2B725-1FF2-4C1B-8C95-98498D8659EA}"/>
            </a:ext>
          </a:extLst>
        </xdr:cNvPr>
        <xdr:cNvSpPr/>
      </xdr:nvSpPr>
      <xdr:spPr>
        <a:xfrm>
          <a:off x="4658225" y="3552928"/>
          <a:ext cx="1716405" cy="198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/>
            <a:t>DESCUENTO</a:t>
          </a:r>
          <a:r>
            <a:rPr lang="es-CL" sz="1100" b="1"/>
            <a:t>:</a:t>
          </a:r>
        </a:p>
      </xdr:txBody>
    </xdr:sp>
    <xdr:clientData/>
  </xdr:twoCellAnchor>
  <xdr:twoCellAnchor editAs="absolute">
    <xdr:from>
      <xdr:col>1</xdr:col>
      <xdr:colOff>0</xdr:colOff>
      <xdr:row>21</xdr:row>
      <xdr:rowOff>184</xdr:rowOff>
    </xdr:from>
    <xdr:to>
      <xdr:col>7</xdr:col>
      <xdr:colOff>440872</xdr:colOff>
      <xdr:row>22</xdr:row>
      <xdr:rowOff>2271</xdr:rowOff>
    </xdr:to>
    <xdr:sp macro="" textlink="">
      <xdr:nvSpPr>
        <xdr:cNvPr id="8" name="Shape 19">
          <a:extLst>
            <a:ext uri="{FF2B5EF4-FFF2-40B4-BE49-F238E27FC236}">
              <a16:creationId xmlns:a16="http://schemas.microsoft.com/office/drawing/2014/main" id="{0516366E-77F5-4F73-AC06-ED4349B018CD}"/>
            </a:ext>
          </a:extLst>
        </xdr:cNvPr>
        <xdr:cNvSpPr/>
      </xdr:nvSpPr>
      <xdr:spPr>
        <a:xfrm>
          <a:off x="510540" y="4267384"/>
          <a:ext cx="2460172" cy="20020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22298</xdr:colOff>
      <xdr:row>21</xdr:row>
      <xdr:rowOff>3542</xdr:rowOff>
    </xdr:from>
    <xdr:to>
      <xdr:col>13</xdr:col>
      <xdr:colOff>22405</xdr:colOff>
      <xdr:row>22</xdr:row>
      <xdr:rowOff>13331</xdr:rowOff>
    </xdr:to>
    <xdr:sp macro="" textlink="">
      <xdr:nvSpPr>
        <xdr:cNvPr id="9" name="Shape 19">
          <a:extLst>
            <a:ext uri="{FF2B5EF4-FFF2-40B4-BE49-F238E27FC236}">
              <a16:creationId xmlns:a16="http://schemas.microsoft.com/office/drawing/2014/main" id="{BB811036-C15F-480D-82A8-4B3B3DA2419C}"/>
            </a:ext>
          </a:extLst>
        </xdr:cNvPr>
        <xdr:cNvSpPr/>
      </xdr:nvSpPr>
      <xdr:spPr>
        <a:xfrm>
          <a:off x="3131258" y="4270742"/>
          <a:ext cx="1362182" cy="20028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54576</xdr:colOff>
      <xdr:row>21</xdr:row>
      <xdr:rowOff>184</xdr:rowOff>
    </xdr:from>
    <xdr:to>
      <xdr:col>19</xdr:col>
      <xdr:colOff>22192</xdr:colOff>
      <xdr:row>22</xdr:row>
      <xdr:rowOff>2190</xdr:rowOff>
    </xdr:to>
    <xdr:sp macro="" textlink="">
      <xdr:nvSpPr>
        <xdr:cNvPr id="10" name="Shape 19">
          <a:extLst>
            <a:ext uri="{FF2B5EF4-FFF2-40B4-BE49-F238E27FC236}">
              <a16:creationId xmlns:a16="http://schemas.microsoft.com/office/drawing/2014/main" id="{B898936E-FD7D-46A4-8576-4B78FCB34E29}"/>
            </a:ext>
          </a:extLst>
        </xdr:cNvPr>
        <xdr:cNvSpPr/>
      </xdr:nvSpPr>
      <xdr:spPr>
        <a:xfrm>
          <a:off x="4618956" y="4267384"/>
          <a:ext cx="1849756" cy="2001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23</xdr:row>
      <xdr:rowOff>853</xdr:rowOff>
    </xdr:from>
    <xdr:to>
      <xdr:col>7</xdr:col>
      <xdr:colOff>440872</xdr:colOff>
      <xdr:row>24</xdr:row>
      <xdr:rowOff>1796</xdr:rowOff>
    </xdr:to>
    <xdr:sp macro="" textlink="">
      <xdr:nvSpPr>
        <xdr:cNvPr id="11" name="Shape 19">
          <a:extLst>
            <a:ext uri="{FF2B5EF4-FFF2-40B4-BE49-F238E27FC236}">
              <a16:creationId xmlns:a16="http://schemas.microsoft.com/office/drawing/2014/main" id="{663AC653-6F12-4BA3-856E-23ACACF39D61}"/>
            </a:ext>
          </a:extLst>
        </xdr:cNvPr>
        <xdr:cNvSpPr/>
      </xdr:nvSpPr>
      <xdr:spPr>
        <a:xfrm>
          <a:off x="510540" y="4519513"/>
          <a:ext cx="2460172" cy="19906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79979</xdr:colOff>
      <xdr:row>23</xdr:row>
      <xdr:rowOff>3541</xdr:rowOff>
    </xdr:from>
    <xdr:to>
      <xdr:col>13</xdr:col>
      <xdr:colOff>22512</xdr:colOff>
      <xdr:row>24</xdr:row>
      <xdr:rowOff>12856</xdr:rowOff>
    </xdr:to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5E398481-F239-4D71-92ED-DE611ECA772B}"/>
            </a:ext>
          </a:extLst>
        </xdr:cNvPr>
        <xdr:cNvSpPr/>
      </xdr:nvSpPr>
      <xdr:spPr>
        <a:xfrm>
          <a:off x="3089879" y="4522201"/>
          <a:ext cx="1390333" cy="19981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74367</xdr:colOff>
      <xdr:row>23</xdr:row>
      <xdr:rowOff>853</xdr:rowOff>
    </xdr:from>
    <xdr:to>
      <xdr:col>19</xdr:col>
      <xdr:colOff>17535</xdr:colOff>
      <xdr:row>24</xdr:row>
      <xdr:rowOff>1715</xdr:rowOff>
    </xdr:to>
    <xdr:sp macro="" textlink="">
      <xdr:nvSpPr>
        <xdr:cNvPr id="13" name="Shape 19">
          <a:extLst>
            <a:ext uri="{FF2B5EF4-FFF2-40B4-BE49-F238E27FC236}">
              <a16:creationId xmlns:a16="http://schemas.microsoft.com/office/drawing/2014/main" id="{BB64B6C1-16B0-44DF-83CC-6A4C6276CC1C}"/>
            </a:ext>
          </a:extLst>
        </xdr:cNvPr>
        <xdr:cNvSpPr/>
      </xdr:nvSpPr>
      <xdr:spPr>
        <a:xfrm>
          <a:off x="4631127" y="4519513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20005</xdr:colOff>
      <xdr:row>35</xdr:row>
      <xdr:rowOff>22723</xdr:rowOff>
    </xdr:from>
    <xdr:to>
      <xdr:col>8</xdr:col>
      <xdr:colOff>1137</xdr:colOff>
      <xdr:row>36</xdr:row>
      <xdr:rowOff>20868</xdr:rowOff>
    </xdr:to>
    <xdr:sp macro="" textlink="">
      <xdr:nvSpPr>
        <xdr:cNvPr id="14" name="Shape 19">
          <a:extLst>
            <a:ext uri="{FF2B5EF4-FFF2-40B4-BE49-F238E27FC236}">
              <a16:creationId xmlns:a16="http://schemas.microsoft.com/office/drawing/2014/main" id="{235E15F0-9427-4816-BE02-E051685C4A47}"/>
            </a:ext>
          </a:extLst>
        </xdr:cNvPr>
        <xdr:cNvSpPr/>
      </xdr:nvSpPr>
      <xdr:spPr>
        <a:xfrm>
          <a:off x="522925" y="6324463"/>
          <a:ext cx="2482397" cy="19626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15739</xdr:colOff>
      <xdr:row>35</xdr:row>
      <xdr:rowOff>3117</xdr:rowOff>
    </xdr:from>
    <xdr:to>
      <xdr:col>13</xdr:col>
      <xdr:colOff>37012</xdr:colOff>
      <xdr:row>35</xdr:row>
      <xdr:rowOff>191602</xdr:rowOff>
    </xdr:to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FE6BFA3E-A600-4740-B3A4-EDFEBE626774}"/>
            </a:ext>
          </a:extLst>
        </xdr:cNvPr>
        <xdr:cNvSpPr/>
      </xdr:nvSpPr>
      <xdr:spPr>
        <a:xfrm>
          <a:off x="3118984" y="6304857"/>
          <a:ext cx="1383348" cy="188485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39791</xdr:colOff>
      <xdr:row>35</xdr:row>
      <xdr:rowOff>20742</xdr:rowOff>
    </xdr:from>
    <xdr:to>
      <xdr:col>19</xdr:col>
      <xdr:colOff>60079</xdr:colOff>
      <xdr:row>36</xdr:row>
      <xdr:rowOff>44</xdr:rowOff>
    </xdr:to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73E0F100-9610-4A74-B7B3-082002237700}"/>
            </a:ext>
          </a:extLst>
        </xdr:cNvPr>
        <xdr:cNvSpPr/>
      </xdr:nvSpPr>
      <xdr:spPr>
        <a:xfrm>
          <a:off x="4695611" y="6311052"/>
          <a:ext cx="1824323" cy="188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20003</xdr:colOff>
      <xdr:row>36</xdr:row>
      <xdr:rowOff>54488</xdr:rowOff>
    </xdr:from>
    <xdr:to>
      <xdr:col>8</xdr:col>
      <xdr:colOff>1135</xdr:colOff>
      <xdr:row>37</xdr:row>
      <xdr:rowOff>169916</xdr:rowOff>
    </xdr:to>
    <xdr:sp macro="" textlink="">
      <xdr:nvSpPr>
        <xdr:cNvPr id="17" name="Shape 19">
          <a:extLst>
            <a:ext uri="{FF2B5EF4-FFF2-40B4-BE49-F238E27FC236}">
              <a16:creationId xmlns:a16="http://schemas.microsoft.com/office/drawing/2014/main" id="{381A81BB-D7F9-45A7-B894-D1165F3AAE2A}"/>
            </a:ext>
          </a:extLst>
        </xdr:cNvPr>
        <xdr:cNvSpPr/>
      </xdr:nvSpPr>
      <xdr:spPr>
        <a:xfrm>
          <a:off x="522923" y="6554348"/>
          <a:ext cx="2482397" cy="199248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76</xdr:colOff>
      <xdr:row>36</xdr:row>
      <xdr:rowOff>75933</xdr:rowOff>
    </xdr:from>
    <xdr:to>
      <xdr:col>13</xdr:col>
      <xdr:colOff>3781</xdr:colOff>
      <xdr:row>37</xdr:row>
      <xdr:rowOff>190585</xdr:rowOff>
    </xdr:to>
    <xdr:sp macro="" textlink="">
      <xdr:nvSpPr>
        <xdr:cNvPr id="18" name="Shape 19">
          <a:extLst>
            <a:ext uri="{FF2B5EF4-FFF2-40B4-BE49-F238E27FC236}">
              <a16:creationId xmlns:a16="http://schemas.microsoft.com/office/drawing/2014/main" id="{AC5C56C3-A79E-41DB-B673-EEC721BC55B7}"/>
            </a:ext>
          </a:extLst>
        </xdr:cNvPr>
        <xdr:cNvSpPr/>
      </xdr:nvSpPr>
      <xdr:spPr>
        <a:xfrm>
          <a:off x="3109036" y="6575793"/>
          <a:ext cx="1360065" cy="19085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2540</xdr:colOff>
      <xdr:row>37</xdr:row>
      <xdr:rowOff>20742</xdr:rowOff>
    </xdr:from>
    <xdr:to>
      <xdr:col>19</xdr:col>
      <xdr:colOff>60083</xdr:colOff>
      <xdr:row>37</xdr:row>
      <xdr:rowOff>188995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E08F082C-73BD-4740-B7B1-821DD4238020}"/>
            </a:ext>
          </a:extLst>
        </xdr:cNvPr>
        <xdr:cNvSpPr/>
      </xdr:nvSpPr>
      <xdr:spPr>
        <a:xfrm>
          <a:off x="4658360" y="6589182"/>
          <a:ext cx="1861578" cy="17587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17463</xdr:colOff>
      <xdr:row>38</xdr:row>
      <xdr:rowOff>51409</xdr:rowOff>
    </xdr:from>
    <xdr:to>
      <xdr:col>8</xdr:col>
      <xdr:colOff>19550</xdr:colOff>
      <xdr:row>39</xdr:row>
      <xdr:rowOff>171222</xdr:rowOff>
    </xdr:to>
    <xdr:sp macro="" textlink="">
      <xdr:nvSpPr>
        <xdr:cNvPr id="20" name="Shape 19">
          <a:extLst>
            <a:ext uri="{FF2B5EF4-FFF2-40B4-BE49-F238E27FC236}">
              <a16:creationId xmlns:a16="http://schemas.microsoft.com/office/drawing/2014/main" id="{FF042182-9A51-4DC0-9C7A-E27B7AB805C8}"/>
            </a:ext>
          </a:extLst>
        </xdr:cNvPr>
        <xdr:cNvSpPr/>
      </xdr:nvSpPr>
      <xdr:spPr>
        <a:xfrm>
          <a:off x="535623" y="6817969"/>
          <a:ext cx="2482397" cy="19982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21136</xdr:colOff>
      <xdr:row>39</xdr:row>
      <xdr:rowOff>21777</xdr:rowOff>
    </xdr:from>
    <xdr:to>
      <xdr:col>13</xdr:col>
      <xdr:colOff>49848</xdr:colOff>
      <xdr:row>40</xdr:row>
      <xdr:rowOff>21696</xdr:rowOff>
    </xdr:to>
    <xdr:sp macro="" textlink="">
      <xdr:nvSpPr>
        <xdr:cNvPr id="21" name="Shape 19">
          <a:extLst>
            <a:ext uri="{FF2B5EF4-FFF2-40B4-BE49-F238E27FC236}">
              <a16:creationId xmlns:a16="http://schemas.microsoft.com/office/drawing/2014/main" id="{944E304E-32A5-45FE-AA4E-0D6495850463}"/>
            </a:ext>
          </a:extLst>
        </xdr:cNvPr>
        <xdr:cNvSpPr/>
      </xdr:nvSpPr>
      <xdr:spPr>
        <a:xfrm>
          <a:off x="3135811" y="6862632"/>
          <a:ext cx="1371737" cy="19422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2965</xdr:colOff>
      <xdr:row>39</xdr:row>
      <xdr:rowOff>19237</xdr:rowOff>
    </xdr:from>
    <xdr:to>
      <xdr:col>19</xdr:col>
      <xdr:colOff>97653</xdr:colOff>
      <xdr:row>40</xdr:row>
      <xdr:rowOff>16721</xdr:rowOff>
    </xdr:to>
    <xdr:sp macro="" textlink="">
      <xdr:nvSpPr>
        <xdr:cNvPr id="22" name="Shape 19">
          <a:extLst>
            <a:ext uri="{FF2B5EF4-FFF2-40B4-BE49-F238E27FC236}">
              <a16:creationId xmlns:a16="http://schemas.microsoft.com/office/drawing/2014/main" id="{AD44FEE5-7E57-4CD9-B694-579767E7CCA8}"/>
            </a:ext>
          </a:extLst>
        </xdr:cNvPr>
        <xdr:cNvSpPr/>
      </xdr:nvSpPr>
      <xdr:spPr>
        <a:xfrm>
          <a:off x="4654975" y="6842947"/>
          <a:ext cx="1889198" cy="19369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20005</xdr:colOff>
      <xdr:row>41</xdr:row>
      <xdr:rowOff>11842</xdr:rowOff>
    </xdr:from>
    <xdr:to>
      <xdr:col>8</xdr:col>
      <xdr:colOff>502</xdr:colOff>
      <xdr:row>42</xdr:row>
      <xdr:rowOff>16612</xdr:rowOff>
    </xdr:to>
    <xdr:sp macro="" textlink="">
      <xdr:nvSpPr>
        <xdr:cNvPr id="23" name="Shape 19">
          <a:extLst>
            <a:ext uri="{FF2B5EF4-FFF2-40B4-BE49-F238E27FC236}">
              <a16:creationId xmlns:a16="http://schemas.microsoft.com/office/drawing/2014/main" id="{024DCE9E-0B05-484B-BA36-1FFC0355E504}"/>
            </a:ext>
          </a:extLst>
        </xdr:cNvPr>
        <xdr:cNvSpPr/>
      </xdr:nvSpPr>
      <xdr:spPr>
        <a:xfrm>
          <a:off x="530545" y="7106062"/>
          <a:ext cx="2479857" cy="2105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26534</xdr:colOff>
      <xdr:row>41</xdr:row>
      <xdr:rowOff>19734</xdr:rowOff>
    </xdr:from>
    <xdr:to>
      <xdr:col>13</xdr:col>
      <xdr:colOff>58602</xdr:colOff>
      <xdr:row>42</xdr:row>
      <xdr:rowOff>16348</xdr:rowOff>
    </xdr:to>
    <xdr:sp macro="" textlink="">
      <xdr:nvSpPr>
        <xdr:cNvPr id="24" name="Shape 19">
          <a:extLst>
            <a:ext uri="{FF2B5EF4-FFF2-40B4-BE49-F238E27FC236}">
              <a16:creationId xmlns:a16="http://schemas.microsoft.com/office/drawing/2014/main" id="{4CBBFD70-A186-488B-A5AD-A63143CE49AD}"/>
            </a:ext>
          </a:extLst>
        </xdr:cNvPr>
        <xdr:cNvSpPr/>
      </xdr:nvSpPr>
      <xdr:spPr>
        <a:xfrm>
          <a:off x="3143114" y="7121574"/>
          <a:ext cx="1380808" cy="189019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1028</xdr:colOff>
      <xdr:row>41</xdr:row>
      <xdr:rowOff>12901</xdr:rowOff>
    </xdr:from>
    <xdr:to>
      <xdr:col>19</xdr:col>
      <xdr:colOff>58178</xdr:colOff>
      <xdr:row>42</xdr:row>
      <xdr:rowOff>19707</xdr:rowOff>
    </xdr:to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AD544906-85CB-4323-B13D-34A5AB73D44A}"/>
            </a:ext>
          </a:extLst>
        </xdr:cNvPr>
        <xdr:cNvSpPr/>
      </xdr:nvSpPr>
      <xdr:spPr>
        <a:xfrm>
          <a:off x="4643513" y="7107121"/>
          <a:ext cx="1868805" cy="20492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21908</xdr:colOff>
      <xdr:row>44</xdr:row>
      <xdr:rowOff>55224</xdr:rowOff>
    </xdr:from>
    <xdr:to>
      <xdr:col>13</xdr:col>
      <xdr:colOff>54611</xdr:colOff>
      <xdr:row>46</xdr:row>
      <xdr:rowOff>18252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486E1D9D-20DC-47AF-9BB9-12C732FAD777}"/>
            </a:ext>
          </a:extLst>
        </xdr:cNvPr>
        <xdr:cNvSpPr/>
      </xdr:nvSpPr>
      <xdr:spPr>
        <a:xfrm>
          <a:off x="3140393" y="7652364"/>
          <a:ext cx="1373823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15</xdr:col>
      <xdr:colOff>39336</xdr:colOff>
      <xdr:row>44</xdr:row>
      <xdr:rowOff>54166</xdr:rowOff>
    </xdr:from>
    <xdr:to>
      <xdr:col>19</xdr:col>
      <xdr:colOff>91543</xdr:colOff>
      <xdr:row>46</xdr:row>
      <xdr:rowOff>19099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7CB5AD09-3A30-40B2-9135-151A5D77F690}"/>
            </a:ext>
          </a:extLst>
        </xdr:cNvPr>
        <xdr:cNvSpPr/>
      </xdr:nvSpPr>
      <xdr:spPr>
        <a:xfrm>
          <a:off x="4695156" y="7641781"/>
          <a:ext cx="1841002" cy="229728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57906</xdr:colOff>
      <xdr:row>47</xdr:row>
      <xdr:rowOff>39934</xdr:rowOff>
    </xdr:from>
    <xdr:to>
      <xdr:col>7</xdr:col>
      <xdr:colOff>287019</xdr:colOff>
      <xdr:row>48</xdr:row>
      <xdr:rowOff>96519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DF4D8A91-5362-454A-814E-AE0E4EBAB4B8}"/>
            </a:ext>
          </a:extLst>
        </xdr:cNvPr>
        <xdr:cNvSpPr/>
      </xdr:nvSpPr>
      <xdr:spPr>
        <a:xfrm>
          <a:off x="560826" y="7987594"/>
          <a:ext cx="2248413" cy="231845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absolute">
    <xdr:from>
      <xdr:col>1</xdr:col>
      <xdr:colOff>54731</xdr:colOff>
      <xdr:row>44</xdr:row>
      <xdr:rowOff>55144</xdr:rowOff>
    </xdr:from>
    <xdr:to>
      <xdr:col>7</xdr:col>
      <xdr:colOff>266700</xdr:colOff>
      <xdr:row>46</xdr:row>
      <xdr:rowOff>22225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01A02238-9243-40C6-A274-F03A71AE0533}"/>
            </a:ext>
          </a:extLst>
        </xdr:cNvPr>
        <xdr:cNvSpPr/>
      </xdr:nvSpPr>
      <xdr:spPr>
        <a:xfrm>
          <a:off x="559556" y="7659904"/>
          <a:ext cx="2236984" cy="235686"/>
        </a:xfrm>
        <a:prstGeom prst="roundRect">
          <a:avLst/>
        </a:prstGeom>
        <a:solidFill>
          <a:srgbClr val="4BE19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400"/>
        </a:p>
      </xdr:txBody>
    </xdr:sp>
    <xdr:clientData/>
  </xdr:twoCellAnchor>
  <xdr:twoCellAnchor editAs="absolute">
    <xdr:from>
      <xdr:col>1</xdr:col>
      <xdr:colOff>91440</xdr:colOff>
      <xdr:row>44</xdr:row>
      <xdr:rowOff>97863</xdr:rowOff>
    </xdr:from>
    <xdr:to>
      <xdr:col>6</xdr:col>
      <xdr:colOff>1678</xdr:colOff>
      <xdr:row>46</xdr:row>
      <xdr:rowOff>18975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DD30955-2387-49F7-836D-E5ABB3142CE3}"/>
            </a:ext>
          </a:extLst>
        </xdr:cNvPr>
        <xdr:cNvSpPr/>
      </xdr:nvSpPr>
      <xdr:spPr>
        <a:xfrm>
          <a:off x="596265" y="7704528"/>
          <a:ext cx="1840003" cy="185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TOTALES:</a:t>
          </a:r>
        </a:p>
      </xdr:txBody>
    </xdr:sp>
    <xdr:clientData/>
  </xdr:twoCellAnchor>
  <xdr:twoCellAnchor editAs="absolute">
    <xdr:from>
      <xdr:col>1</xdr:col>
      <xdr:colOff>39371</xdr:colOff>
      <xdr:row>47</xdr:row>
      <xdr:rowOff>55717</xdr:rowOff>
    </xdr:from>
    <xdr:to>
      <xdr:col>5</xdr:col>
      <xdr:colOff>553494</xdr:colOff>
      <xdr:row>48</xdr:row>
      <xdr:rowOff>55576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9959792F-8564-4CFA-B6BB-F6412B907A22}"/>
            </a:ext>
          </a:extLst>
        </xdr:cNvPr>
        <xdr:cNvSpPr/>
      </xdr:nvSpPr>
      <xdr:spPr>
        <a:xfrm>
          <a:off x="549911" y="8010997"/>
          <a:ext cx="1840003" cy="1751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300" b="1"/>
            <a:t>TOTAL A PAGAR:</a:t>
          </a:r>
        </a:p>
      </xdr:txBody>
    </xdr:sp>
    <xdr:clientData/>
  </xdr:twoCellAnchor>
  <xdr:twoCellAnchor editAs="absolute">
    <xdr:from>
      <xdr:col>9</xdr:col>
      <xdr:colOff>16087</xdr:colOff>
      <xdr:row>47</xdr:row>
      <xdr:rowOff>17917</xdr:rowOff>
    </xdr:from>
    <xdr:to>
      <xdr:col>19</xdr:col>
      <xdr:colOff>72390</xdr:colOff>
      <xdr:row>48</xdr:row>
      <xdr:rowOff>50797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93917B12-169D-42F5-8AA0-C362DE530884}"/>
            </a:ext>
          </a:extLst>
        </xdr:cNvPr>
        <xdr:cNvSpPr/>
      </xdr:nvSpPr>
      <xdr:spPr>
        <a:xfrm>
          <a:off x="3132667" y="7965577"/>
          <a:ext cx="3393863" cy="20814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-=</a:t>
          </a:r>
        </a:p>
      </xdr:txBody>
    </xdr:sp>
    <xdr:clientData/>
  </xdr:twoCellAnchor>
  <xdr:twoCellAnchor editAs="absolute">
    <xdr:from>
      <xdr:col>1</xdr:col>
      <xdr:colOff>1838</xdr:colOff>
      <xdr:row>7</xdr:row>
      <xdr:rowOff>17018</xdr:rowOff>
    </xdr:from>
    <xdr:to>
      <xdr:col>2</xdr:col>
      <xdr:colOff>34290</xdr:colOff>
      <xdr:row>7</xdr:row>
      <xdr:rowOff>178461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04904BAA-B484-46B3-B359-73D50B41D979}"/>
            </a:ext>
          </a:extLst>
        </xdr:cNvPr>
        <xdr:cNvSpPr/>
      </xdr:nvSpPr>
      <xdr:spPr>
        <a:xfrm>
          <a:off x="512378" y="1409573"/>
          <a:ext cx="520132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1837</xdr:colOff>
      <xdr:row>8</xdr:row>
      <xdr:rowOff>60008</xdr:rowOff>
    </xdr:from>
    <xdr:to>
      <xdr:col>3</xdr:col>
      <xdr:colOff>97472</xdr:colOff>
      <xdr:row>8</xdr:row>
      <xdr:rowOff>177641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C3224A4F-324D-418B-9DCD-5E57B9C74719}"/>
            </a:ext>
          </a:extLst>
        </xdr:cNvPr>
        <xdr:cNvSpPr/>
      </xdr:nvSpPr>
      <xdr:spPr>
        <a:xfrm>
          <a:off x="512377" y="1675448"/>
          <a:ext cx="771910" cy="132873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NOMBRE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1838</xdr:colOff>
      <xdr:row>9</xdr:row>
      <xdr:rowOff>59541</xdr:rowOff>
    </xdr:from>
    <xdr:to>
      <xdr:col>5</xdr:col>
      <xdr:colOff>92256</xdr:colOff>
      <xdr:row>10</xdr:row>
      <xdr:rowOff>3602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5165EDB3-4D2E-46D9-B17A-276B20013802}"/>
            </a:ext>
          </a:extLst>
        </xdr:cNvPr>
        <xdr:cNvSpPr/>
      </xdr:nvSpPr>
      <xdr:spPr>
        <a:xfrm>
          <a:off x="512378" y="1894056"/>
          <a:ext cx="1416298" cy="15170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FECHA DE INGRESO:</a:t>
          </a:r>
        </a:p>
      </xdr:txBody>
    </xdr:sp>
    <xdr:clientData/>
  </xdr:twoCellAnchor>
  <xdr:twoCellAnchor editAs="absolute">
    <xdr:from>
      <xdr:col>1</xdr:col>
      <xdr:colOff>1838</xdr:colOff>
      <xdr:row>10</xdr:row>
      <xdr:rowOff>58742</xdr:rowOff>
    </xdr:from>
    <xdr:to>
      <xdr:col>3</xdr:col>
      <xdr:colOff>2993</xdr:colOff>
      <xdr:row>11</xdr:row>
      <xdr:rowOff>1110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24CBA366-1786-4E01-9FA5-262438958EBF}"/>
            </a:ext>
          </a:extLst>
        </xdr:cNvPr>
        <xdr:cNvSpPr/>
      </xdr:nvSpPr>
      <xdr:spPr>
        <a:xfrm>
          <a:off x="512378" y="2093282"/>
          <a:ext cx="671715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CARGO</a:t>
          </a:r>
          <a:r>
            <a:rPr lang="es-CL" sz="1100">
              <a:solidFill>
                <a:schemeClr val="accent1">
                  <a:lumMod val="75000"/>
                </a:schemeClr>
              </a:solidFill>
            </a:rPr>
            <a:t>:</a:t>
          </a:r>
        </a:p>
      </xdr:txBody>
    </xdr:sp>
    <xdr:clientData/>
  </xdr:twoCellAnchor>
  <xdr:twoCellAnchor editAs="absolute">
    <xdr:from>
      <xdr:col>1</xdr:col>
      <xdr:colOff>11430</xdr:colOff>
      <xdr:row>12</xdr:row>
      <xdr:rowOff>20955</xdr:rowOff>
    </xdr:from>
    <xdr:to>
      <xdr:col>6</xdr:col>
      <xdr:colOff>3506</xdr:colOff>
      <xdr:row>13</xdr:row>
      <xdr:rowOff>320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4716B583-F10F-4479-8CDB-AF88561073AD}"/>
            </a:ext>
          </a:extLst>
        </xdr:cNvPr>
        <xdr:cNvSpPr/>
      </xdr:nvSpPr>
      <xdr:spPr>
        <a:xfrm>
          <a:off x="514350" y="2604135"/>
          <a:ext cx="1898981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TRABAJADOS:</a:t>
          </a:r>
        </a:p>
      </xdr:txBody>
    </xdr:sp>
    <xdr:clientData/>
  </xdr:twoCellAnchor>
  <xdr:twoCellAnchor editAs="absolute">
    <xdr:from>
      <xdr:col>7</xdr:col>
      <xdr:colOff>21772</xdr:colOff>
      <xdr:row>12</xdr:row>
      <xdr:rowOff>20955</xdr:rowOff>
    </xdr:from>
    <xdr:to>
      <xdr:col>13</xdr:col>
      <xdr:colOff>12169</xdr:colOff>
      <xdr:row>13</xdr:row>
      <xdr:rowOff>320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B2A4878F-25C9-4B37-8E9B-119E2A1F1BFA}"/>
            </a:ext>
          </a:extLst>
        </xdr:cNvPr>
        <xdr:cNvSpPr/>
      </xdr:nvSpPr>
      <xdr:spPr>
        <a:xfrm>
          <a:off x="2543992" y="2604135"/>
          <a:ext cx="1925877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LICENCIA:</a:t>
          </a:r>
        </a:p>
      </xdr:txBody>
    </xdr:sp>
    <xdr:clientData/>
  </xdr:twoCellAnchor>
  <xdr:twoCellAnchor editAs="absolute">
    <xdr:from>
      <xdr:col>14</xdr:col>
      <xdr:colOff>35742</xdr:colOff>
      <xdr:row>12</xdr:row>
      <xdr:rowOff>20955</xdr:rowOff>
    </xdr:from>
    <xdr:to>
      <xdr:col>18</xdr:col>
      <xdr:colOff>416982</xdr:colOff>
      <xdr:row>13</xdr:row>
      <xdr:rowOff>320</xdr:rowOff>
    </xdr:to>
    <xdr:sp macro="" textlink="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579E9EE9-E445-405A-9C28-7A0F74D94124}"/>
            </a:ext>
          </a:extLst>
        </xdr:cNvPr>
        <xdr:cNvSpPr/>
      </xdr:nvSpPr>
      <xdr:spPr>
        <a:xfrm>
          <a:off x="4592502" y="2604135"/>
          <a:ext cx="1844280" cy="230825"/>
        </a:xfrm>
        <a:prstGeom prst="roundRect">
          <a:avLst/>
        </a:prstGeom>
        <a:solidFill>
          <a:srgbClr val="FFB0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DÍAS AUSENCIA:</a:t>
          </a:r>
        </a:p>
      </xdr:txBody>
    </xdr:sp>
    <xdr:clientData/>
  </xdr:twoCellAnchor>
  <xdr:twoCellAnchor editAs="absolute">
    <xdr:from>
      <xdr:col>1</xdr:col>
      <xdr:colOff>11430</xdr:colOff>
      <xdr:row>14</xdr:row>
      <xdr:rowOff>15240</xdr:rowOff>
    </xdr:from>
    <xdr:to>
      <xdr:col>6</xdr:col>
      <xdr:colOff>3506</xdr:colOff>
      <xdr:row>15</xdr:row>
      <xdr:rowOff>265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B275CDC0-CAA0-4229-BAA1-386A4EFC65D7}"/>
            </a:ext>
          </a:extLst>
        </xdr:cNvPr>
        <xdr:cNvSpPr/>
      </xdr:nvSpPr>
      <xdr:spPr>
        <a:xfrm>
          <a:off x="514350" y="2897505"/>
          <a:ext cx="1898981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7</xdr:col>
      <xdr:colOff>21772</xdr:colOff>
      <xdr:row>14</xdr:row>
      <xdr:rowOff>15240</xdr:rowOff>
    </xdr:from>
    <xdr:to>
      <xdr:col>13</xdr:col>
      <xdr:colOff>12169</xdr:colOff>
      <xdr:row>15</xdr:row>
      <xdr:rowOff>265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1B51439B-12ED-41B2-9060-5BC5D7E7EE49}"/>
            </a:ext>
          </a:extLst>
        </xdr:cNvPr>
        <xdr:cNvSpPr/>
      </xdr:nvSpPr>
      <xdr:spPr>
        <a:xfrm>
          <a:off x="2543992" y="2897505"/>
          <a:ext cx="192587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14</xdr:col>
      <xdr:colOff>15315</xdr:colOff>
      <xdr:row>14</xdr:row>
      <xdr:rowOff>15240</xdr:rowOff>
    </xdr:from>
    <xdr:to>
      <xdr:col>18</xdr:col>
      <xdr:colOff>418887</xdr:colOff>
      <xdr:row>15</xdr:row>
      <xdr:rowOff>265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4B785FC5-0729-49B0-B849-9C4FC214E23C}"/>
            </a:ext>
          </a:extLst>
        </xdr:cNvPr>
        <xdr:cNvSpPr/>
      </xdr:nvSpPr>
      <xdr:spPr>
        <a:xfrm>
          <a:off x="4566360" y="2897505"/>
          <a:ext cx="1872327" cy="22696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 b="1"/>
        </a:p>
      </xdr:txBody>
    </xdr:sp>
    <xdr:clientData/>
  </xdr:twoCellAnchor>
  <xdr:twoCellAnchor editAs="absolute">
    <xdr:from>
      <xdr:col>1</xdr:col>
      <xdr:colOff>11430</xdr:colOff>
      <xdr:row>16</xdr:row>
      <xdr:rowOff>173355</xdr:rowOff>
    </xdr:from>
    <xdr:to>
      <xdr:col>7</xdr:col>
      <xdr:colOff>454207</xdr:colOff>
      <xdr:row>18</xdr:row>
      <xdr:rowOff>17040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96D7E9D3-8E7F-41BE-A47C-5AEBC4C80948}"/>
            </a:ext>
          </a:extLst>
        </xdr:cNvPr>
        <xdr:cNvSpPr/>
      </xdr:nvSpPr>
      <xdr:spPr>
        <a:xfrm>
          <a:off x="514350" y="3547110"/>
          <a:ext cx="2469697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DETALLE:</a:t>
          </a:r>
        </a:p>
      </xdr:txBody>
    </xdr:sp>
    <xdr:clientData/>
  </xdr:twoCellAnchor>
  <xdr:twoCellAnchor editAs="absolute">
    <xdr:from>
      <xdr:col>8</xdr:col>
      <xdr:colOff>78921</xdr:colOff>
      <xdr:row>16</xdr:row>
      <xdr:rowOff>167640</xdr:rowOff>
    </xdr:from>
    <xdr:to>
      <xdr:col>13</xdr:col>
      <xdr:colOff>1607</xdr:colOff>
      <xdr:row>18</xdr:row>
      <xdr:rowOff>18945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4B2C1997-3C6D-4ABD-9F47-CC8CC57BCEE0}"/>
            </a:ext>
          </a:extLst>
        </xdr:cNvPr>
        <xdr:cNvSpPr/>
      </xdr:nvSpPr>
      <xdr:spPr>
        <a:xfrm>
          <a:off x="3079296" y="3549015"/>
          <a:ext cx="1380011" cy="24183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HABERES:</a:t>
          </a:r>
        </a:p>
      </xdr:txBody>
    </xdr:sp>
    <xdr:clientData/>
  </xdr:twoCellAnchor>
  <xdr:twoCellAnchor editAs="absolute">
    <xdr:from>
      <xdr:col>14</xdr:col>
      <xdr:colOff>1980</xdr:colOff>
      <xdr:row>16</xdr:row>
      <xdr:rowOff>173355</xdr:rowOff>
    </xdr:from>
    <xdr:to>
      <xdr:col>19</xdr:col>
      <xdr:colOff>921</xdr:colOff>
      <xdr:row>18</xdr:row>
      <xdr:rowOff>17040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9775561F-EBB3-41E7-AEE1-885BB5EF5694}"/>
            </a:ext>
          </a:extLst>
        </xdr:cNvPr>
        <xdr:cNvSpPr/>
      </xdr:nvSpPr>
      <xdr:spPr>
        <a:xfrm>
          <a:off x="4558740" y="3547110"/>
          <a:ext cx="1896321" cy="226590"/>
        </a:xfrm>
        <a:prstGeom prst="roundRect">
          <a:avLst/>
        </a:prstGeom>
        <a:solidFill>
          <a:srgbClr val="4DC7D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 b="1"/>
            <a:t>DESCUENTO:</a:t>
          </a:r>
        </a:p>
      </xdr:txBody>
    </xdr:sp>
    <xdr:clientData/>
  </xdr:twoCellAnchor>
  <xdr:twoCellAnchor editAs="absolute">
    <xdr:from>
      <xdr:col>10</xdr:col>
      <xdr:colOff>110634</xdr:colOff>
      <xdr:row>7</xdr:row>
      <xdr:rowOff>17018</xdr:rowOff>
    </xdr:from>
    <xdr:to>
      <xdr:col>15</xdr:col>
      <xdr:colOff>3514</xdr:colOff>
      <xdr:row>7</xdr:row>
      <xdr:rowOff>178461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4084BA8E-51CD-437D-8377-574A777C3CA9}"/>
            </a:ext>
          </a:extLst>
        </xdr:cNvPr>
        <xdr:cNvSpPr/>
      </xdr:nvSpPr>
      <xdr:spPr>
        <a:xfrm>
          <a:off x="3501534" y="1409573"/>
          <a:ext cx="1150180" cy="1785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RAZÓN SOCIAL: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8</xdr:row>
      <xdr:rowOff>60648</xdr:rowOff>
    </xdr:from>
    <xdr:to>
      <xdr:col>11</xdr:col>
      <xdr:colOff>476749</xdr:colOff>
      <xdr:row>9</xdr:row>
      <xdr:rowOff>1111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88BCF0EB-CE9D-4025-885D-F19F3D8A184B}"/>
            </a:ext>
          </a:extLst>
        </xdr:cNvPr>
        <xdr:cNvSpPr/>
      </xdr:nvSpPr>
      <xdr:spPr>
        <a:xfrm>
          <a:off x="3501535" y="1693233"/>
          <a:ext cx="480414" cy="13667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RUT: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110635</xdr:colOff>
      <xdr:row>9</xdr:row>
      <xdr:rowOff>56606</xdr:rowOff>
    </xdr:from>
    <xdr:to>
      <xdr:col>12</xdr:col>
      <xdr:colOff>278629</xdr:colOff>
      <xdr:row>10</xdr:row>
      <xdr:rowOff>3602</xdr:rowOff>
    </xdr:to>
    <xdr:sp macro="" textlink="">
      <xdr:nvSpPr>
        <xdr:cNvPr id="48" name="Rectángulo: esquinas redondeadas 47">
          <a:extLst>
            <a:ext uri="{FF2B5EF4-FFF2-40B4-BE49-F238E27FC236}">
              <a16:creationId xmlns:a16="http://schemas.microsoft.com/office/drawing/2014/main" id="{313BCC5D-3892-45AE-B6DB-A02AA70DD1E2}"/>
            </a:ext>
          </a:extLst>
        </xdr:cNvPr>
        <xdr:cNvSpPr/>
      </xdr:nvSpPr>
      <xdr:spPr>
        <a:xfrm>
          <a:off x="3501535" y="1896836"/>
          <a:ext cx="914754" cy="148926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DIRECCIÓN:</a:t>
          </a:r>
        </a:p>
      </xdr:txBody>
    </xdr:sp>
    <xdr:clientData/>
  </xdr:twoCellAnchor>
  <xdr:twoCellAnchor editAs="absolute">
    <xdr:from>
      <xdr:col>10</xdr:col>
      <xdr:colOff>110635</xdr:colOff>
      <xdr:row>10</xdr:row>
      <xdr:rowOff>58742</xdr:rowOff>
    </xdr:from>
    <xdr:to>
      <xdr:col>11</xdr:col>
      <xdr:colOff>608194</xdr:colOff>
      <xdr:row>11</xdr:row>
      <xdr:rowOff>1110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6E27AF0D-F8C6-4D7D-AA33-07C0E0C421CB}"/>
            </a:ext>
          </a:extLst>
        </xdr:cNvPr>
        <xdr:cNvSpPr/>
      </xdr:nvSpPr>
      <xdr:spPr>
        <a:xfrm>
          <a:off x="3501535" y="2093282"/>
          <a:ext cx="611859" cy="15572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100" b="1">
              <a:solidFill>
                <a:schemeClr val="accent1">
                  <a:lumMod val="75000"/>
                </a:schemeClr>
              </a:solidFill>
            </a:rPr>
            <a:t>EMAIL:</a:t>
          </a:r>
          <a:endParaRPr lang="es-CL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359797</xdr:colOff>
      <xdr:row>2</xdr:row>
      <xdr:rowOff>8245</xdr:rowOff>
    </xdr:from>
    <xdr:to>
      <xdr:col>15</xdr:col>
      <xdr:colOff>302812</xdr:colOff>
      <xdr:row>2</xdr:row>
      <xdr:rowOff>181427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6F3BC099-1588-4B1B-9B41-CD33F2A6BF8F}"/>
            </a:ext>
          </a:extLst>
        </xdr:cNvPr>
        <xdr:cNvSpPr/>
      </xdr:nvSpPr>
      <xdr:spPr>
        <a:xfrm>
          <a:off x="1838077" y="374005"/>
          <a:ext cx="3120555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accent1">
                  <a:lumMod val="75000"/>
                </a:schemeClr>
              </a:solidFill>
            </a:rPr>
            <a:t>LIQUIDACIÓN DE SUELDO</a:t>
          </a:r>
          <a:r>
            <a:rPr lang="es-CL" sz="1400" b="1" baseline="0">
              <a:solidFill>
                <a:schemeClr val="accent1">
                  <a:lumMod val="75000"/>
                </a:schemeClr>
              </a:solidFill>
            </a:rPr>
            <a:t> MENSUAL</a:t>
          </a:r>
          <a:endParaRPr lang="es-CL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64976</xdr:colOff>
      <xdr:row>53</xdr:row>
      <xdr:rowOff>8250</xdr:rowOff>
    </xdr:from>
    <xdr:to>
      <xdr:col>18</xdr:col>
      <xdr:colOff>242662</xdr:colOff>
      <xdr:row>53</xdr:row>
      <xdr:rowOff>181432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36894610-D156-4763-9C3C-AC95FA68436D}"/>
            </a:ext>
          </a:extLst>
        </xdr:cNvPr>
        <xdr:cNvSpPr/>
      </xdr:nvSpPr>
      <xdr:spPr>
        <a:xfrm>
          <a:off x="4720796" y="9015090"/>
          <a:ext cx="1541666" cy="173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050" b="1">
              <a:solidFill>
                <a:schemeClr val="accent1">
                  <a:lumMod val="75000"/>
                </a:schemeClr>
              </a:solidFill>
              <a:latin typeface="Raleway" panose="020B0503030101060003" pitchFamily="34" charset="0"/>
            </a:rPr>
            <a:t>FIRMA TRABAJADOR</a:t>
          </a:r>
        </a:p>
      </xdr:txBody>
    </xdr:sp>
    <xdr:clientData/>
  </xdr:twoCellAnchor>
  <xdr:twoCellAnchor>
    <xdr:from>
      <xdr:col>13</xdr:col>
      <xdr:colOff>54429</xdr:colOff>
      <xdr:row>52</xdr:row>
      <xdr:rowOff>63500</xdr:rowOff>
    </xdr:from>
    <xdr:to>
      <xdr:col>18</xdr:col>
      <xdr:colOff>411159</xdr:colOff>
      <xdr:row>52</xdr:row>
      <xdr:rowOff>63500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B1812FC4-6983-4ADD-BDC2-6EC62D0B6041}"/>
            </a:ext>
          </a:extLst>
        </xdr:cNvPr>
        <xdr:cNvCxnSpPr/>
      </xdr:nvCxnSpPr>
      <xdr:spPr>
        <a:xfrm>
          <a:off x="4519749" y="8887460"/>
          <a:ext cx="1911210" cy="0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16297</xdr:colOff>
      <xdr:row>25</xdr:row>
      <xdr:rowOff>15877</xdr:rowOff>
    </xdr:from>
    <xdr:to>
      <xdr:col>7</xdr:col>
      <xdr:colOff>403225</xdr:colOff>
      <xdr:row>26</xdr:row>
      <xdr:rowOff>21167</xdr:rowOff>
    </xdr:to>
    <xdr:sp macro="" textlink="">
      <xdr:nvSpPr>
        <xdr:cNvPr id="53" name="Shape 19">
          <a:extLst>
            <a:ext uri="{FF2B5EF4-FFF2-40B4-BE49-F238E27FC236}">
              <a16:creationId xmlns:a16="http://schemas.microsoft.com/office/drawing/2014/main" id="{47DF40EA-12C3-4E9C-9E8A-249A0DF96C9B}"/>
            </a:ext>
          </a:extLst>
        </xdr:cNvPr>
        <xdr:cNvSpPr/>
      </xdr:nvSpPr>
      <xdr:spPr>
        <a:xfrm>
          <a:off x="521122" y="4785997"/>
          <a:ext cx="2421468" cy="203410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317</xdr:colOff>
      <xdr:row>25</xdr:row>
      <xdr:rowOff>12912</xdr:rowOff>
    </xdr:from>
    <xdr:to>
      <xdr:col>13</xdr:col>
      <xdr:colOff>2540</xdr:colOff>
      <xdr:row>25</xdr:row>
      <xdr:rowOff>189549</xdr:rowOff>
    </xdr:to>
    <xdr:sp macro="" textlink="">
      <xdr:nvSpPr>
        <xdr:cNvPr id="54" name="Shape 19">
          <a:extLst>
            <a:ext uri="{FF2B5EF4-FFF2-40B4-BE49-F238E27FC236}">
              <a16:creationId xmlns:a16="http://schemas.microsoft.com/office/drawing/2014/main" id="{F552FEE3-E9AF-4EE4-A2F3-85E2E1F54363}"/>
            </a:ext>
          </a:extLst>
        </xdr:cNvPr>
        <xdr:cNvSpPr/>
      </xdr:nvSpPr>
      <xdr:spPr>
        <a:xfrm>
          <a:off x="3105467" y="4775412"/>
          <a:ext cx="1362393" cy="184257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73550</xdr:colOff>
      <xdr:row>25</xdr:row>
      <xdr:rowOff>21167</xdr:rowOff>
    </xdr:from>
    <xdr:to>
      <xdr:col>19</xdr:col>
      <xdr:colOff>16718</xdr:colOff>
      <xdr:row>26</xdr:row>
      <xdr:rowOff>22029</xdr:rowOff>
    </xdr:to>
    <xdr:sp macro="" textlink="">
      <xdr:nvSpPr>
        <xdr:cNvPr id="55" name="Shape 19">
          <a:extLst>
            <a:ext uri="{FF2B5EF4-FFF2-40B4-BE49-F238E27FC236}">
              <a16:creationId xmlns:a16="http://schemas.microsoft.com/office/drawing/2014/main" id="{768AF7BB-B3F4-4DE2-B7B5-E4753068A4D3}"/>
            </a:ext>
          </a:extLst>
        </xdr:cNvPr>
        <xdr:cNvSpPr/>
      </xdr:nvSpPr>
      <xdr:spPr>
        <a:xfrm>
          <a:off x="4630310" y="4791287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55563</xdr:colOff>
      <xdr:row>1</xdr:row>
      <xdr:rowOff>79377</xdr:rowOff>
    </xdr:from>
    <xdr:to>
      <xdr:col>5</xdr:col>
      <xdr:colOff>148593</xdr:colOff>
      <xdr:row>3</xdr:row>
      <xdr:rowOff>140020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B3AD8CF4-7A3F-480C-A0E1-9F287B9CC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03" y="262257"/>
          <a:ext cx="1418910" cy="494983"/>
        </a:xfrm>
        <a:prstGeom prst="rect">
          <a:avLst/>
        </a:prstGeom>
      </xdr:spPr>
    </xdr:pic>
    <xdr:clientData/>
  </xdr:twoCellAnchor>
  <xdr:twoCellAnchor editAs="absolute">
    <xdr:from>
      <xdr:col>1</xdr:col>
      <xdr:colOff>21166</xdr:colOff>
      <xdr:row>26</xdr:row>
      <xdr:rowOff>55880</xdr:rowOff>
    </xdr:from>
    <xdr:to>
      <xdr:col>7</xdr:col>
      <xdr:colOff>430954</xdr:colOff>
      <xdr:row>27</xdr:row>
      <xdr:rowOff>177586</xdr:rowOff>
    </xdr:to>
    <xdr:sp macro="" textlink="">
      <xdr:nvSpPr>
        <xdr:cNvPr id="57" name="Shape 19">
          <a:extLst>
            <a:ext uri="{FF2B5EF4-FFF2-40B4-BE49-F238E27FC236}">
              <a16:creationId xmlns:a16="http://schemas.microsoft.com/office/drawing/2014/main" id="{9D32B436-514B-4BF0-A5A5-687695062D22}"/>
            </a:ext>
          </a:extLst>
        </xdr:cNvPr>
        <xdr:cNvSpPr/>
      </xdr:nvSpPr>
      <xdr:spPr>
        <a:xfrm>
          <a:off x="531706" y="5031740"/>
          <a:ext cx="2421468" cy="19790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55881</xdr:colOff>
      <xdr:row>27</xdr:row>
      <xdr:rowOff>0</xdr:rowOff>
    </xdr:from>
    <xdr:to>
      <xdr:col>13</xdr:col>
      <xdr:colOff>531</xdr:colOff>
      <xdr:row>28</xdr:row>
      <xdr:rowOff>16298</xdr:rowOff>
    </xdr:to>
    <xdr:sp macro="" textlink="">
      <xdr:nvSpPr>
        <xdr:cNvPr id="58" name="Shape 19">
          <a:extLst>
            <a:ext uri="{FF2B5EF4-FFF2-40B4-BE49-F238E27FC236}">
              <a16:creationId xmlns:a16="http://schemas.microsoft.com/office/drawing/2014/main" id="{9147EECE-7732-47CF-AD4A-5A110AA8B2DE}"/>
            </a:ext>
          </a:extLst>
        </xdr:cNvPr>
        <xdr:cNvSpPr/>
      </xdr:nvSpPr>
      <xdr:spPr>
        <a:xfrm>
          <a:off x="3073401" y="504444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74084</xdr:colOff>
      <xdr:row>27</xdr:row>
      <xdr:rowOff>0</xdr:rowOff>
    </xdr:from>
    <xdr:to>
      <xdr:col>19</xdr:col>
      <xdr:colOff>17252</xdr:colOff>
      <xdr:row>28</xdr:row>
      <xdr:rowOff>862</xdr:rowOff>
    </xdr:to>
    <xdr:sp macro="" textlink="">
      <xdr:nvSpPr>
        <xdr:cNvPr id="59" name="Shape 19">
          <a:extLst>
            <a:ext uri="{FF2B5EF4-FFF2-40B4-BE49-F238E27FC236}">
              <a16:creationId xmlns:a16="http://schemas.microsoft.com/office/drawing/2014/main" id="{F66AB894-3F98-48EC-8D0B-E8EC2F0174FD}"/>
            </a:ext>
          </a:extLst>
        </xdr:cNvPr>
        <xdr:cNvSpPr/>
      </xdr:nvSpPr>
      <xdr:spPr>
        <a:xfrm>
          <a:off x="4630844" y="504444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29</xdr:row>
      <xdr:rowOff>15875</xdr:rowOff>
    </xdr:from>
    <xdr:to>
      <xdr:col>7</xdr:col>
      <xdr:colOff>402168</xdr:colOff>
      <xdr:row>30</xdr:row>
      <xdr:rowOff>16931</xdr:rowOff>
    </xdr:to>
    <xdr:sp macro="" textlink="">
      <xdr:nvSpPr>
        <xdr:cNvPr id="60" name="Shape 19">
          <a:extLst>
            <a:ext uri="{FF2B5EF4-FFF2-40B4-BE49-F238E27FC236}">
              <a16:creationId xmlns:a16="http://schemas.microsoft.com/office/drawing/2014/main" id="{34C430DE-4624-479F-A74C-ABDB0CE16D6E}"/>
            </a:ext>
          </a:extLst>
        </xdr:cNvPr>
        <xdr:cNvSpPr/>
      </xdr:nvSpPr>
      <xdr:spPr>
        <a:xfrm>
          <a:off x="510540" y="530225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29</xdr:row>
      <xdr:rowOff>20320</xdr:rowOff>
    </xdr:from>
    <xdr:to>
      <xdr:col>13</xdr:col>
      <xdr:colOff>36090</xdr:colOff>
      <xdr:row>30</xdr:row>
      <xdr:rowOff>15663</xdr:rowOff>
    </xdr:to>
    <xdr:sp macro="" textlink="">
      <xdr:nvSpPr>
        <xdr:cNvPr id="61" name="Shape 19">
          <a:extLst>
            <a:ext uri="{FF2B5EF4-FFF2-40B4-BE49-F238E27FC236}">
              <a16:creationId xmlns:a16="http://schemas.microsoft.com/office/drawing/2014/main" id="{93B6C788-C8EB-44DF-85C6-15D64B63DCE7}"/>
            </a:ext>
          </a:extLst>
        </xdr:cNvPr>
        <xdr:cNvSpPr/>
      </xdr:nvSpPr>
      <xdr:spPr>
        <a:xfrm>
          <a:off x="3108960" y="53086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15</xdr:col>
      <xdr:colOff>16298</xdr:colOff>
      <xdr:row>29</xdr:row>
      <xdr:rowOff>0</xdr:rowOff>
    </xdr:from>
    <xdr:to>
      <xdr:col>19</xdr:col>
      <xdr:colOff>60431</xdr:colOff>
      <xdr:row>30</xdr:row>
      <xdr:rowOff>862</xdr:rowOff>
    </xdr:to>
    <xdr:sp macro="" textlink="">
      <xdr:nvSpPr>
        <xdr:cNvPr id="62" name="Shape 19">
          <a:extLst>
            <a:ext uri="{FF2B5EF4-FFF2-40B4-BE49-F238E27FC236}">
              <a16:creationId xmlns:a16="http://schemas.microsoft.com/office/drawing/2014/main" id="{B10A4FD5-6C04-484D-A475-F42F9794F56D}"/>
            </a:ext>
          </a:extLst>
        </xdr:cNvPr>
        <xdr:cNvSpPr/>
      </xdr:nvSpPr>
      <xdr:spPr>
        <a:xfrm>
          <a:off x="4666403" y="5295900"/>
          <a:ext cx="184816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31</xdr:row>
      <xdr:rowOff>0</xdr:rowOff>
    </xdr:from>
    <xdr:to>
      <xdr:col>7</xdr:col>
      <xdr:colOff>402168</xdr:colOff>
      <xdr:row>32</xdr:row>
      <xdr:rowOff>1056</xdr:rowOff>
    </xdr:to>
    <xdr:sp macro="" textlink="">
      <xdr:nvSpPr>
        <xdr:cNvPr id="63" name="Shape 19">
          <a:extLst>
            <a:ext uri="{FF2B5EF4-FFF2-40B4-BE49-F238E27FC236}">
              <a16:creationId xmlns:a16="http://schemas.microsoft.com/office/drawing/2014/main" id="{BC07B778-23B0-49E4-8A28-172C9D6ED3B3}"/>
            </a:ext>
          </a:extLst>
        </xdr:cNvPr>
        <xdr:cNvSpPr/>
      </xdr:nvSpPr>
      <xdr:spPr>
        <a:xfrm>
          <a:off x="510540" y="5600700"/>
          <a:ext cx="2421468" cy="199176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9</xdr:col>
      <xdr:colOff>0</xdr:colOff>
      <xdr:row>31</xdr:row>
      <xdr:rowOff>0</xdr:rowOff>
    </xdr:from>
    <xdr:to>
      <xdr:col>13</xdr:col>
      <xdr:colOff>36090</xdr:colOff>
      <xdr:row>32</xdr:row>
      <xdr:rowOff>16298</xdr:rowOff>
    </xdr:to>
    <xdr:sp macro="" textlink="">
      <xdr:nvSpPr>
        <xdr:cNvPr id="64" name="Shape 19">
          <a:extLst>
            <a:ext uri="{FF2B5EF4-FFF2-40B4-BE49-F238E27FC236}">
              <a16:creationId xmlns:a16="http://schemas.microsoft.com/office/drawing/2014/main" id="{6E894595-FD3E-4568-A679-CE0DA03097A8}"/>
            </a:ext>
          </a:extLst>
        </xdr:cNvPr>
        <xdr:cNvSpPr/>
      </xdr:nvSpPr>
      <xdr:spPr>
        <a:xfrm>
          <a:off x="3108960" y="5600700"/>
          <a:ext cx="1392450" cy="208703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absolute">
    <xdr:from>
      <xdr:col>14</xdr:col>
      <xdr:colOff>92075</xdr:colOff>
      <xdr:row>31</xdr:row>
      <xdr:rowOff>0</xdr:rowOff>
    </xdr:from>
    <xdr:to>
      <xdr:col>19</xdr:col>
      <xdr:colOff>21273</xdr:colOff>
      <xdr:row>32</xdr:row>
      <xdr:rowOff>862</xdr:rowOff>
    </xdr:to>
    <xdr:sp macro="" textlink="">
      <xdr:nvSpPr>
        <xdr:cNvPr id="65" name="Shape 19">
          <a:extLst>
            <a:ext uri="{FF2B5EF4-FFF2-40B4-BE49-F238E27FC236}">
              <a16:creationId xmlns:a16="http://schemas.microsoft.com/office/drawing/2014/main" id="{1C94E856-5FA1-4571-A8CD-05B35F1004E3}"/>
            </a:ext>
          </a:extLst>
        </xdr:cNvPr>
        <xdr:cNvSpPr/>
      </xdr:nvSpPr>
      <xdr:spPr>
        <a:xfrm>
          <a:off x="4639310" y="5600700"/>
          <a:ext cx="1845628" cy="198982"/>
        </a:xfrm>
        <a:custGeom>
          <a:avLst/>
          <a:gdLst/>
          <a:ahLst/>
          <a:cxnLst/>
          <a:rect l="0" t="0" r="0" b="0"/>
          <a:pathLst>
            <a:path w="4055745" h="466725">
              <a:moveTo>
                <a:pt x="3933532" y="0"/>
              </a:moveTo>
              <a:lnTo>
                <a:pt x="121881" y="0"/>
              </a:lnTo>
              <a:lnTo>
                <a:pt x="74441" y="9578"/>
              </a:lnTo>
              <a:lnTo>
                <a:pt x="35699" y="35699"/>
              </a:lnTo>
              <a:lnTo>
                <a:pt x="9578" y="74441"/>
              </a:lnTo>
              <a:lnTo>
                <a:pt x="0" y="121881"/>
              </a:lnTo>
              <a:lnTo>
                <a:pt x="0" y="344766"/>
              </a:lnTo>
              <a:lnTo>
                <a:pt x="9578" y="392207"/>
              </a:lnTo>
              <a:lnTo>
                <a:pt x="35699" y="430949"/>
              </a:lnTo>
              <a:lnTo>
                <a:pt x="74441" y="457070"/>
              </a:lnTo>
              <a:lnTo>
                <a:pt x="121881" y="466648"/>
              </a:lnTo>
              <a:lnTo>
                <a:pt x="3933532" y="466648"/>
              </a:lnTo>
              <a:lnTo>
                <a:pt x="3980980" y="457070"/>
              </a:lnTo>
              <a:lnTo>
                <a:pt x="4019726" y="430949"/>
              </a:lnTo>
              <a:lnTo>
                <a:pt x="4045848" y="392207"/>
              </a:lnTo>
              <a:lnTo>
                <a:pt x="4055427" y="344766"/>
              </a:lnTo>
              <a:lnTo>
                <a:pt x="4055427" y="121881"/>
              </a:lnTo>
              <a:lnTo>
                <a:pt x="4045848" y="74441"/>
              </a:lnTo>
              <a:lnTo>
                <a:pt x="4019726" y="35699"/>
              </a:lnTo>
              <a:lnTo>
                <a:pt x="3980980" y="9578"/>
              </a:lnTo>
              <a:lnTo>
                <a:pt x="3933532" y="0"/>
              </a:lnTo>
              <a:close/>
            </a:path>
          </a:pathLst>
        </a:custGeom>
        <a:noFill/>
        <a:ln>
          <a:solidFill>
            <a:schemeClr val="accent1">
              <a:lumMod val="75000"/>
            </a:schemeClr>
          </a:solidFill>
        </a:ln>
      </xdr:spPr>
      <xdr:txBody>
        <a:bodyPr anchor="ctr"/>
        <a:lstStyle/>
        <a:p>
          <a:pPr lvl="4" algn="ctr"/>
          <a:endParaRPr lang="es-CL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5"/>
  <sheetViews>
    <sheetView workbookViewId="0">
      <selection activeCell="I6" sqref="I6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13" style="3" bestFit="1" customWidth="1"/>
    <col min="4" max="4" width="16.28515625" bestFit="1" customWidth="1"/>
    <col min="5" max="5" width="12" style="3" bestFit="1" customWidth="1"/>
    <col min="6" max="6" width="2.28515625" customWidth="1"/>
    <col min="7" max="7" width="1.7109375" customWidth="1"/>
    <col min="8" max="8" width="21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">
        <v>0</v>
      </c>
      <c r="C1" s="2">
        <v>43281</v>
      </c>
    </row>
    <row r="3" spans="2:14">
      <c r="B3" s="4" t="s">
        <v>1</v>
      </c>
      <c r="C3" s="5">
        <v>30</v>
      </c>
      <c r="G3" s="6"/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G4" s="6"/>
      <c r="I4" s="4"/>
      <c r="J4" s="7">
        <v>78.3</v>
      </c>
      <c r="K4" s="7">
        <v>117.5</v>
      </c>
      <c r="L4" s="7">
        <v>78.3</v>
      </c>
      <c r="M4" s="4"/>
      <c r="N4" s="4"/>
    </row>
    <row r="5" spans="2:14">
      <c r="B5" s="4" t="s">
        <v>9</v>
      </c>
      <c r="C5" s="10" t="s">
        <v>10</v>
      </c>
      <c r="G5" s="6"/>
      <c r="I5" s="4"/>
      <c r="J5" s="4"/>
      <c r="K5" s="4"/>
      <c r="L5" s="11">
        <f>L4*7%</f>
        <v>5.4810000000000008</v>
      </c>
      <c r="M5" s="4"/>
      <c r="N5" s="4"/>
    </row>
    <row r="6" spans="2:14">
      <c r="B6" s="4" t="s">
        <v>11</v>
      </c>
      <c r="C6" s="12" t="s">
        <v>12</v>
      </c>
      <c r="G6" s="6"/>
      <c r="I6" s="13">
        <v>27158.77</v>
      </c>
      <c r="J6" s="14">
        <f>+J4*$I$6</f>
        <v>2126531.6910000001</v>
      </c>
      <c r="K6" s="14">
        <f>K4*$I$6</f>
        <v>3191155.4750000001</v>
      </c>
      <c r="L6" s="15">
        <f>L5*I6</f>
        <v>148857.21837000002</v>
      </c>
      <c r="M6" s="14">
        <f>(276000*4.75)*(1/12)</f>
        <v>109250</v>
      </c>
      <c r="N6" s="16">
        <f>C19-E8-IF((E9+E10)&lt;L6,(E9+E10),L6)-E12-E15-E16</f>
        <v>899934.5</v>
      </c>
    </row>
    <row r="7" spans="2:14" ht="15.75" thickBot="1">
      <c r="C7" s="17"/>
      <c r="D7" s="18"/>
      <c r="G7" s="6"/>
      <c r="I7" s="19"/>
      <c r="J7" s="20"/>
      <c r="K7" s="20"/>
      <c r="L7" s="21"/>
      <c r="M7" s="20"/>
      <c r="N7" s="17"/>
    </row>
    <row r="8" spans="2:14">
      <c r="B8" s="22" t="s">
        <v>13</v>
      </c>
      <c r="C8" s="23">
        <v>1000000</v>
      </c>
      <c r="D8" s="22" t="s">
        <v>11</v>
      </c>
      <c r="E8" s="23">
        <f>ROUND(IF(C19&lt;J6,C19*J23,J6*J23),0)</f>
        <v>125012</v>
      </c>
      <c r="H8" s="56"/>
    </row>
    <row r="9" spans="2:14">
      <c r="B9" s="24" t="s">
        <v>14</v>
      </c>
      <c r="C9" s="17">
        <f>ROUND((IF($C$8*25%&lt;$M$6,C8*25%,$M$6)),0)/30*C3</f>
        <v>109250</v>
      </c>
      <c r="D9" s="24" t="s">
        <v>15</v>
      </c>
      <c r="E9" s="25">
        <f>ROUND(IF(C19&lt;J6,C19*M21,J6*M21),0)</f>
        <v>77648</v>
      </c>
      <c r="H9" s="56"/>
    </row>
    <row r="10" spans="2:14">
      <c r="B10" s="24"/>
      <c r="C10" s="31"/>
      <c r="D10" s="24" t="s">
        <v>16</v>
      </c>
      <c r="E10" s="26">
        <v>0</v>
      </c>
      <c r="J10" s="1" t="s">
        <v>17</v>
      </c>
      <c r="K10" t="s">
        <v>18</v>
      </c>
    </row>
    <row r="11" spans="2:14">
      <c r="B11" s="24"/>
      <c r="C11" s="31">
        <v>0</v>
      </c>
      <c r="D11" s="24" t="s">
        <v>19</v>
      </c>
      <c r="E11" s="25">
        <f>IF(N6&gt;$J$12,IF(N6&gt;J13,IF(N6&gt;$J$14,IF(N6&gt;$J$15,IF(N6&gt;$J$16,IF(N6&gt;$J$17,IF(N6&gt;$J$18,(N6*$L$18)-$M$18,(N6*$L$17)-$M$17),(N6*$L$16)-$M$16),(N6*$L$15)-$M$15),(N6*$L$14)-$M$14),(N6*$L$13)-$M$13),(N6*$L$12)-$M$12),0)</f>
        <v>10326.859999999997</v>
      </c>
      <c r="I11" s="27" t="s">
        <v>20</v>
      </c>
      <c r="J11" s="28" t="s">
        <v>21</v>
      </c>
      <c r="K11" s="28">
        <v>641763</v>
      </c>
      <c r="L11" s="29" t="s">
        <v>22</v>
      </c>
      <c r="M11" s="27" t="s">
        <v>21</v>
      </c>
      <c r="N11" s="30" t="s">
        <v>22</v>
      </c>
    </row>
    <row r="12" spans="2:14">
      <c r="B12" s="24" t="s">
        <v>23</v>
      </c>
      <c r="C12" s="31">
        <v>0</v>
      </c>
      <c r="D12" s="24" t="s">
        <v>24</v>
      </c>
      <c r="E12" s="25">
        <f>IF(C5="INDEFINIDO",(IF(C19&gt;$K$6,($K$6*$M$22),($C$19*M22))),0)</f>
        <v>6655.5</v>
      </c>
      <c r="I12" s="27"/>
      <c r="J12" s="28">
        <v>641763.01</v>
      </c>
      <c r="K12" s="28">
        <v>1426140</v>
      </c>
      <c r="L12" s="29">
        <v>0.04</v>
      </c>
      <c r="M12" s="28">
        <v>25670.52</v>
      </c>
      <c r="N12" s="32">
        <v>2.1999999999999999E-2</v>
      </c>
    </row>
    <row r="13" spans="2:14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v>1426140.01</v>
      </c>
      <c r="K13" s="28">
        <v>2376900</v>
      </c>
      <c r="L13" s="29">
        <v>0.08</v>
      </c>
      <c r="M13" s="28">
        <v>82716.12</v>
      </c>
      <c r="N13" s="32"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v>2376900.0099999998</v>
      </c>
      <c r="K14" s="28">
        <v>3327660</v>
      </c>
      <c r="L14" s="33">
        <v>0.13500000000000001</v>
      </c>
      <c r="M14" s="28">
        <v>213445.62</v>
      </c>
      <c r="N14" s="32">
        <v>7.0900000000000005E-2</v>
      </c>
    </row>
    <row r="15" spans="2:14">
      <c r="B15" s="24"/>
      <c r="C15" s="25"/>
      <c r="D15" s="24" t="s">
        <v>28</v>
      </c>
      <c r="E15" s="31"/>
      <c r="I15" s="27"/>
      <c r="J15" s="28">
        <v>3327660.01</v>
      </c>
      <c r="K15" s="28">
        <v>4278420</v>
      </c>
      <c r="L15" s="29">
        <v>0.23</v>
      </c>
      <c r="M15" s="28">
        <v>529573.31999999995</v>
      </c>
      <c r="N15" s="32"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v>4278420.01</v>
      </c>
      <c r="K16" s="28">
        <v>5704560</v>
      </c>
      <c r="L16" s="33">
        <v>0.30399999999999999</v>
      </c>
      <c r="M16" s="28">
        <v>846176.4</v>
      </c>
      <c r="N16" s="32">
        <v>0.15570000000000001</v>
      </c>
    </row>
    <row r="17" spans="2:20">
      <c r="B17" s="24"/>
      <c r="C17" s="25"/>
      <c r="D17" s="24"/>
      <c r="E17" s="25"/>
      <c r="I17" s="27"/>
      <c r="J17" s="28">
        <v>5704560.0099999998</v>
      </c>
      <c r="K17" s="28" t="s">
        <v>29</v>
      </c>
      <c r="L17" s="33">
        <v>0.35</v>
      </c>
      <c r="M17" s="28">
        <v>1108586.1599999999</v>
      </c>
      <c r="N17" s="32" t="s">
        <v>30</v>
      </c>
    </row>
    <row r="18" spans="2:20">
      <c r="B18" s="24"/>
      <c r="C18" s="25"/>
      <c r="D18" s="24"/>
      <c r="E18" s="25"/>
      <c r="I18" s="27"/>
      <c r="J18" s="28">
        <v>6844950.0099999998</v>
      </c>
      <c r="K18" s="28" t="s">
        <v>31</v>
      </c>
      <c r="L18" s="29">
        <v>0.4</v>
      </c>
      <c r="M18" s="28">
        <v>1399564.11</v>
      </c>
      <c r="N18" s="34" t="s">
        <v>32</v>
      </c>
    </row>
    <row r="19" spans="2:20">
      <c r="B19" s="35" t="s">
        <v>33</v>
      </c>
      <c r="C19" s="36">
        <f>C8+C9+C12-C13+C10+C11</f>
        <v>1109250</v>
      </c>
      <c r="D19" s="35" t="s">
        <v>34</v>
      </c>
      <c r="E19" s="37">
        <f>SUM(E8:E17)</f>
        <v>219642.36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0.1148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39</v>
      </c>
      <c r="C24" s="25">
        <v>0</v>
      </c>
      <c r="D24" s="24"/>
      <c r="E24" s="25"/>
      <c r="I24" s="4" t="s">
        <v>40</v>
      </c>
      <c r="J24" s="39">
        <v>0.1047</v>
      </c>
      <c r="O24" s="45"/>
      <c r="P24" s="41"/>
      <c r="Q24" s="41"/>
      <c r="R24" s="42"/>
      <c r="S24" s="41"/>
      <c r="T24" s="43"/>
    </row>
    <row r="25" spans="2:20">
      <c r="B25" s="24" t="s">
        <v>41</v>
      </c>
      <c r="C25" s="25">
        <v>0</v>
      </c>
      <c r="D25" s="24"/>
      <c r="E25" s="25"/>
      <c r="I25" s="4" t="s">
        <v>42</v>
      </c>
      <c r="J25" s="39">
        <v>0.1154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0.1077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1109250</v>
      </c>
      <c r="D27" s="48" t="s">
        <v>46</v>
      </c>
      <c r="E27" s="49">
        <f>C19-E19+C24+C25</f>
        <v>889607.64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E27+E28+1</f>
        <v>889608.64</v>
      </c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2.4E-2</v>
      </c>
      <c r="D32" s="16">
        <f>IF(C19&gt;$K$6,($K$6*$C$32),($C$19*C32))</f>
        <v>26622</v>
      </c>
      <c r="G32" s="6"/>
    </row>
    <row r="33" spans="2:10">
      <c r="B33" s="4" t="s">
        <v>50</v>
      </c>
      <c r="C33" s="39">
        <v>9.4999999999999998E-3</v>
      </c>
      <c r="D33" s="16">
        <f>IF(C19&lt;$J$6,C19*$C$33,$J$6*$C$33)</f>
        <v>10537.875</v>
      </c>
      <c r="E33" s="57"/>
      <c r="G33" s="6"/>
    </row>
    <row r="34" spans="2:10">
      <c r="B34" s="4" t="s">
        <v>51</v>
      </c>
      <c r="C34" s="39">
        <v>1.41E-2</v>
      </c>
      <c r="D34" s="58">
        <f>IF(C19&lt;$J$6,C19*$C$34,$J$6*$C$34)</f>
        <v>15640.424999999999</v>
      </c>
      <c r="E34" s="57"/>
      <c r="G34" s="6"/>
    </row>
    <row r="35" spans="2:10">
      <c r="B35" s="7" t="s">
        <v>52</v>
      </c>
      <c r="C35" s="7"/>
      <c r="D35" s="59">
        <f>C27+D32+D33+D34</f>
        <v>1162050.3</v>
      </c>
      <c r="E35" s="60"/>
      <c r="G35" s="6"/>
    </row>
    <row r="36" spans="2:10">
      <c r="B36" s="61"/>
      <c r="C36" s="62"/>
      <c r="E36" s="17"/>
      <c r="G36" s="6"/>
    </row>
    <row r="37" spans="2:10">
      <c r="B37" s="61"/>
      <c r="C37" s="62"/>
      <c r="E37" s="17"/>
      <c r="G37" s="6"/>
    </row>
    <row r="38" spans="2:10">
      <c r="C38" s="62"/>
      <c r="E38" s="17"/>
    </row>
    <row r="39" spans="2:10">
      <c r="B39" s="63"/>
      <c r="C39" s="64"/>
      <c r="E39" s="17"/>
    </row>
    <row r="40" spans="2:10">
      <c r="C40" s="21"/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I44" s="17"/>
    </row>
    <row r="45" spans="2:10">
      <c r="B45" s="61"/>
      <c r="C45" s="69"/>
      <c r="E45" s="17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A352-7E2F-45F1-B4F2-2085B24D6760}">
  <dimension ref="B1:T55"/>
  <sheetViews>
    <sheetView topLeftCell="A28" workbookViewId="0">
      <selection activeCell="C40" sqref="C40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6.140625" bestFit="1" customWidth="1"/>
    <col min="7" max="7" width="11" bestFit="1" customWidth="1"/>
    <col min="8" max="8" width="21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tr">
        <f>+J10</f>
        <v>JULIO</v>
      </c>
      <c r="C1" s="2" t="str">
        <f>+CONCATENATE(B1," ",D1)</f>
        <v>JULIO 2022</v>
      </c>
      <c r="D1">
        <f>+'Impto Unico'!C1</f>
        <v>2022</v>
      </c>
    </row>
    <row r="3" spans="2:14">
      <c r="B3" s="4" t="s">
        <v>1</v>
      </c>
      <c r="C3" s="5">
        <v>30</v>
      </c>
      <c r="D3" t="s">
        <v>93</v>
      </c>
      <c r="E3" s="3">
        <v>1365800</v>
      </c>
      <c r="G3" s="6"/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D4" t="s">
        <v>131</v>
      </c>
      <c r="E4" s="73">
        <v>5.1639999999999997</v>
      </c>
      <c r="G4" s="6"/>
      <c r="I4" s="4"/>
      <c r="J4" s="7">
        <v>81.599999999999994</v>
      </c>
      <c r="K4" s="7">
        <v>122.6</v>
      </c>
      <c r="L4" s="7">
        <f>+J4</f>
        <v>81.599999999999994</v>
      </c>
      <c r="M4" s="142"/>
      <c r="N4" s="4"/>
    </row>
    <row r="5" spans="2:14">
      <c r="B5" s="4" t="s">
        <v>9</v>
      </c>
      <c r="C5" s="10" t="s">
        <v>10</v>
      </c>
      <c r="E5" s="3">
        <f>+ROUND(E4*I6,0)</f>
        <v>172567</v>
      </c>
      <c r="G5" s="6"/>
      <c r="I5" s="4"/>
      <c r="J5" s="4"/>
      <c r="K5" s="4"/>
      <c r="L5" s="11">
        <f>L4*7%</f>
        <v>5.7119999999999997</v>
      </c>
      <c r="M5" s="143">
        <f>(C8+C12+C11)*25%</f>
        <v>341450</v>
      </c>
      <c r="N5" s="4"/>
    </row>
    <row r="6" spans="2:14">
      <c r="B6" s="4" t="s">
        <v>11</v>
      </c>
      <c r="C6" s="12" t="s">
        <v>120</v>
      </c>
      <c r="D6" s="82">
        <v>7.0000000000000007E-2</v>
      </c>
      <c r="E6" s="3">
        <f>+C19*D6</f>
        <v>95606.000000000015</v>
      </c>
      <c r="G6" s="6"/>
      <c r="I6" s="13">
        <f>+'Impto Unico'!L2</f>
        <v>33417.26</v>
      </c>
      <c r="J6" s="14">
        <f>+J4*$I$6</f>
        <v>2726848.4160000002</v>
      </c>
      <c r="K6" s="14">
        <f>K4*$I$6</f>
        <v>4096956.0759999999</v>
      </c>
      <c r="L6" s="15">
        <f>L5*I6</f>
        <v>190879.38912000001</v>
      </c>
      <c r="M6" s="14">
        <f>(380000*4.75)*(1/12)</f>
        <v>150416.66666666666</v>
      </c>
      <c r="N6" s="16">
        <f>C19-E8-IF((E9+E10)&lt;L6,(E9+E10),L6)-E12-E15-E16</f>
        <v>1039307</v>
      </c>
    </row>
    <row r="7" spans="2:14" ht="15.75" thickBot="1">
      <c r="C7" s="17"/>
      <c r="D7" s="18"/>
      <c r="G7" s="6"/>
      <c r="I7" s="19"/>
      <c r="J7" s="20"/>
      <c r="K7" s="20"/>
      <c r="L7" s="21"/>
      <c r="M7" s="20"/>
      <c r="N7" s="17"/>
    </row>
    <row r="8" spans="2:14">
      <c r="B8" s="22" t="s">
        <v>13</v>
      </c>
      <c r="C8" s="131">
        <f>E3</f>
        <v>1365800</v>
      </c>
      <c r="D8" s="22" t="s">
        <v>121</v>
      </c>
      <c r="E8" s="23">
        <f>ROUND(IF(C19&lt;J6,C19*J23,J6*J23),0)</f>
        <v>153926</v>
      </c>
      <c r="I8" s="74"/>
    </row>
    <row r="9" spans="2:14">
      <c r="B9" s="24" t="s">
        <v>14</v>
      </c>
      <c r="C9" s="17"/>
      <c r="D9" s="24" t="str">
        <f>D4</f>
        <v>ISAPRE Vida Tres</v>
      </c>
      <c r="E9" s="25">
        <f>+ROUND(IF(L6&lt;=E6,L6,E6),0)</f>
        <v>95606</v>
      </c>
      <c r="H9" s="74"/>
    </row>
    <row r="10" spans="2:14">
      <c r="B10" s="24"/>
      <c r="C10" s="31"/>
      <c r="D10" s="24" t="s">
        <v>16</v>
      </c>
      <c r="E10" s="26">
        <f>+E5-E9</f>
        <v>76961</v>
      </c>
      <c r="H10" s="97"/>
      <c r="J10" s="1" t="str">
        <f>+'Impto Unico'!B1</f>
        <v>JULIO</v>
      </c>
      <c r="K10" t="s">
        <v>18</v>
      </c>
    </row>
    <row r="11" spans="2:14">
      <c r="B11" s="24"/>
      <c r="C11" s="31">
        <v>0</v>
      </c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10492</v>
      </c>
      <c r="I11" s="27" t="s">
        <v>20</v>
      </c>
      <c r="J11" s="28">
        <f>+'Impto Unico'!C2</f>
        <v>777019.5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>
      <c r="B12" s="24" t="s">
        <v>132</v>
      </c>
      <c r="C12" s="31">
        <v>0</v>
      </c>
      <c r="D12" s="24" t="s">
        <v>98</v>
      </c>
      <c r="E12" s="25">
        <v>0</v>
      </c>
      <c r="H12" s="56"/>
      <c r="I12" s="27"/>
      <c r="J12" s="28">
        <f>+'Impto Unico'!C3</f>
        <v>777019.51</v>
      </c>
      <c r="K12" s="28">
        <f>+'Impto Unico'!D3</f>
        <v>1726710</v>
      </c>
      <c r="L12" s="28">
        <f>+'Impto Unico'!E3</f>
        <v>0.04</v>
      </c>
      <c r="M12" s="28">
        <f>+'Impto Unico'!F3</f>
        <v>31080.78</v>
      </c>
      <c r="N12" s="28">
        <f>+'Impto Unico'!G3</f>
        <v>2.1999999999999999E-2</v>
      </c>
    </row>
    <row r="13" spans="2:14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f>+'Impto Unico'!C4</f>
        <v>1726710.01</v>
      </c>
      <c r="K13" s="28">
        <f>+'Impto Unico'!D4</f>
        <v>2877850</v>
      </c>
      <c r="L13" s="28">
        <f>+'Impto Unico'!E4</f>
        <v>0.08</v>
      </c>
      <c r="M13" s="28">
        <f>+'Impto Unico'!F4</f>
        <v>100149.18</v>
      </c>
      <c r="N13" s="28">
        <f>+'Impto Unico'!G4</f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f>+'Impto Unico'!C5</f>
        <v>2877850.01</v>
      </c>
      <c r="K14" s="28">
        <f>+'Impto Unico'!D5</f>
        <v>4028990</v>
      </c>
      <c r="L14" s="28">
        <f>+'Impto Unico'!E5</f>
        <v>0.13500000000000001</v>
      </c>
      <c r="M14" s="28">
        <f>+'Impto Unico'!F5</f>
        <v>258430.93</v>
      </c>
      <c r="N14" s="28">
        <f>+'Impto Unico'!G5</f>
        <v>7.0900000000000005E-2</v>
      </c>
    </row>
    <row r="15" spans="2:14">
      <c r="B15" s="24"/>
      <c r="C15" s="25"/>
      <c r="D15" s="24" t="s">
        <v>28</v>
      </c>
      <c r="E15" s="31"/>
      <c r="I15" s="27"/>
      <c r="J15" s="28">
        <f>+'Impto Unico'!C6</f>
        <v>4028990.01</v>
      </c>
      <c r="K15" s="28">
        <f>+'Impto Unico'!D6</f>
        <v>5180130</v>
      </c>
      <c r="L15" s="28">
        <f>+'Impto Unico'!E6</f>
        <v>0.23</v>
      </c>
      <c r="M15" s="28">
        <f>+'Impto Unico'!F6</f>
        <v>641184.98</v>
      </c>
      <c r="N15" s="28">
        <f>+'Impto Unico'!G6</f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f>+'Impto Unico'!C7</f>
        <v>5180130.01</v>
      </c>
      <c r="K16" s="28">
        <f>+'Impto Unico'!D7</f>
        <v>6906840</v>
      </c>
      <c r="L16" s="28">
        <f>+'Impto Unico'!E7</f>
        <v>0.30399999999999999</v>
      </c>
      <c r="M16" s="28">
        <f>+'Impto Unico'!F7</f>
        <v>1024514.6</v>
      </c>
      <c r="N16" s="28">
        <f>+'Impto Unico'!G7</f>
        <v>0.15570000000000001</v>
      </c>
    </row>
    <row r="17" spans="2:20">
      <c r="B17" s="24"/>
      <c r="C17" s="25"/>
      <c r="D17" s="24"/>
      <c r="E17" s="25"/>
      <c r="I17" s="27"/>
      <c r="J17" s="28">
        <f>+'Impto Unico'!C8</f>
        <v>6906840.0099999998</v>
      </c>
      <c r="K17" s="28">
        <f>+'Impto Unico'!D8</f>
        <v>8633550</v>
      </c>
      <c r="L17" s="28">
        <f>+'Impto Unico'!E8</f>
        <v>0.35</v>
      </c>
      <c r="M17" s="28">
        <f>+'Impto Unico'!F8</f>
        <v>1342229.24</v>
      </c>
      <c r="N17" s="28">
        <f>+'Impto Unico'!G8</f>
        <v>0.19450000000000001</v>
      </c>
    </row>
    <row r="18" spans="2:20">
      <c r="B18" s="24"/>
      <c r="C18" s="25"/>
      <c r="D18" s="24"/>
      <c r="E18" s="25"/>
      <c r="I18" s="27"/>
      <c r="J18" s="28">
        <f>+'Impto Unico'!C9</f>
        <v>8633550.0099999998</v>
      </c>
      <c r="K18" s="28" t="str">
        <f>+'Impto Unico'!D9</f>
        <v>Y MÁS</v>
      </c>
      <c r="L18" s="28">
        <f>+'Impto Unico'!E9</f>
        <v>0.4</v>
      </c>
      <c r="M18" s="28">
        <f>+'Impto Unico'!F9</f>
        <v>1773906.74</v>
      </c>
      <c r="N18" s="28" t="str">
        <f>+'Impto Unico'!G9</f>
        <v>MÁS DE 19,45%</v>
      </c>
    </row>
    <row r="19" spans="2:20">
      <c r="B19" s="35" t="s">
        <v>33</v>
      </c>
      <c r="C19" s="36">
        <f>C8+C9+C12-C13+C10+C11</f>
        <v>1365800</v>
      </c>
      <c r="D19" s="35" t="s">
        <v>34</v>
      </c>
      <c r="E19" s="37">
        <f>SUM(E8:E17)</f>
        <v>336985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99</v>
      </c>
      <c r="C24" s="25">
        <v>0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>
      <c r="B25" s="24" t="s">
        <v>100</v>
      </c>
      <c r="C25" s="25">
        <v>0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1365800</v>
      </c>
      <c r="D27" s="48" t="s">
        <v>46</v>
      </c>
      <c r="E27" s="49">
        <f>C19-E19+C24+C25</f>
        <v>1028815</v>
      </c>
      <c r="H27" s="74"/>
      <c r="I27" s="4" t="s">
        <v>101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I28" s="4" t="s">
        <v>95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</f>
        <v>1028815</v>
      </c>
      <c r="I29" s="56"/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0.03</v>
      </c>
      <c r="D32" s="16">
        <f>IF(C19&gt;$K$6,($K$6*$C$32),($C$19*C32))</f>
        <v>40974</v>
      </c>
      <c r="G32" s="6"/>
    </row>
    <row r="33" spans="2:10">
      <c r="B33" s="4" t="s">
        <v>123</v>
      </c>
      <c r="C33" s="39">
        <v>9.2999999999999992E-3</v>
      </c>
      <c r="D33" s="16">
        <f>IF(C19&lt;$J$6,C19*$C$33,$J$6*$C$33)</f>
        <v>12701.939999999999</v>
      </c>
      <c r="E33" s="57"/>
      <c r="G33" s="6"/>
    </row>
    <row r="34" spans="2:10">
      <c r="B34" s="4" t="s">
        <v>51</v>
      </c>
      <c r="C34" s="39">
        <v>1.8599999999999998E-2</v>
      </c>
      <c r="D34" s="58">
        <f>IF(C19&lt;$J$6,C19*$C$34,$J$6*$C$34)</f>
        <v>25403.879999999997</v>
      </c>
      <c r="E34" s="57"/>
      <c r="G34" s="6"/>
    </row>
    <row r="35" spans="2:10">
      <c r="B35" s="7" t="s">
        <v>52</v>
      </c>
      <c r="C35" s="7"/>
      <c r="D35" s="59">
        <f>C27+D32+D33+D34</f>
        <v>1444879.8199999998</v>
      </c>
      <c r="E35" s="60"/>
      <c r="G35" s="6"/>
      <c r="I35">
        <f>128/4</f>
        <v>32</v>
      </c>
    </row>
    <row r="36" spans="2:10">
      <c r="B36" s="61"/>
      <c r="C36" s="62"/>
      <c r="E36" s="17"/>
      <c r="G36" s="6"/>
    </row>
    <row r="37" spans="2:10">
      <c r="B37" s="61" t="s">
        <v>102</v>
      </c>
      <c r="C37" s="61" t="s">
        <v>133</v>
      </c>
      <c r="E37" s="17"/>
      <c r="G37" s="6"/>
    </row>
    <row r="38" spans="2:10">
      <c r="B38" t="s">
        <v>104</v>
      </c>
      <c r="C38" s="62" t="s">
        <v>134</v>
      </c>
      <c r="E38" s="17"/>
    </row>
    <row r="39" spans="2:10">
      <c r="B39" s="63" t="s">
        <v>106</v>
      </c>
      <c r="C39" s="62" t="s">
        <v>135</v>
      </c>
      <c r="E39" s="17"/>
    </row>
    <row r="40" spans="2:10">
      <c r="B40" t="s">
        <v>108</v>
      </c>
      <c r="C40" s="144">
        <v>38477</v>
      </c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G44" s="102"/>
      <c r="H44" s="6"/>
      <c r="I44" s="17"/>
    </row>
    <row r="45" spans="2:10">
      <c r="B45" s="61"/>
      <c r="C45" s="69"/>
      <c r="D45" s="125"/>
      <c r="E45" s="17"/>
      <c r="G45" s="102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22C-6788-4672-81A9-92F4BC9684EA}">
  <sheetPr>
    <pageSetUpPr fitToPage="1"/>
  </sheetPr>
  <dimension ref="B3:S50"/>
  <sheetViews>
    <sheetView showGridLines="0" topLeftCell="A19" zoomScale="120" zoomScaleNormal="120" zoomScaleSheetLayoutView="90" workbookViewId="0">
      <selection activeCell="T19" sqref="T19"/>
    </sheetView>
  </sheetViews>
  <sheetFormatPr baseColWidth="10" defaultColWidth="11.42578125" defaultRowHeight="15"/>
  <cols>
    <col min="1" max="1" width="7.42578125" customWidth="1"/>
    <col min="2" max="2" width="7.140625" customWidth="1"/>
    <col min="3" max="3" width="2.7109375" customWidth="1"/>
    <col min="4" max="4" width="5.140625" customWidth="1"/>
    <col min="5" max="5" width="4.42578125" customWidth="1"/>
    <col min="6" max="6" width="8.7109375" customWidth="1"/>
    <col min="7" max="7" width="1.28515625" customWidth="1"/>
    <col min="8" max="8" width="7" customWidth="1"/>
    <col min="9" max="9" width="1.42578125" customWidth="1"/>
    <col min="10" max="10" width="4.140625" customWidth="1"/>
    <col min="11" max="11" width="1.7109375" customWidth="1"/>
    <col min="12" max="12" width="9.28515625" customWidth="1"/>
    <col min="13" max="13" width="4.7109375" customWidth="1"/>
    <col min="14" max="14" width="1.28515625" customWidth="1"/>
    <col min="15" max="15" width="1.42578125" customWidth="1"/>
    <col min="16" max="16" width="11.42578125" customWidth="1"/>
    <col min="17" max="17" width="0.7109375" customWidth="1"/>
    <col min="18" max="18" width="7.7109375" customWidth="1"/>
    <col min="19" max="19" width="6.28515625" customWidth="1"/>
    <col min="20" max="20" width="7" customWidth="1"/>
  </cols>
  <sheetData>
    <row r="3" spans="2:19" ht="18.75">
      <c r="J3" s="83"/>
      <c r="K3" s="83"/>
      <c r="L3" s="83"/>
      <c r="M3" s="83"/>
      <c r="R3" s="279" t="str">
        <f>+'Liquidacion Rolando Carrasco'!C1</f>
        <v>JULIO 2022</v>
      </c>
      <c r="S3" s="280"/>
    </row>
    <row r="6" spans="2:19" ht="18.75">
      <c r="B6" s="83" t="s">
        <v>110</v>
      </c>
      <c r="C6" s="83"/>
      <c r="D6" s="83"/>
      <c r="E6" s="83"/>
      <c r="F6" s="83"/>
      <c r="G6" s="83"/>
      <c r="H6" s="83"/>
      <c r="I6" s="83"/>
      <c r="J6" s="83"/>
      <c r="L6" s="83" t="s">
        <v>111</v>
      </c>
      <c r="M6" s="83"/>
    </row>
    <row r="8" spans="2:19" ht="18">
      <c r="B8" s="84"/>
      <c r="C8" s="277" t="str">
        <f>'Liquidacion Helena Carrascova'!C38</f>
        <v>14468851-1</v>
      </c>
      <c r="D8" s="278"/>
      <c r="E8" s="278"/>
      <c r="F8" s="278"/>
      <c r="G8" s="278"/>
      <c r="H8" s="278"/>
      <c r="I8" s="85"/>
      <c r="L8" s="86"/>
      <c r="M8" s="86"/>
      <c r="P8" s="91" t="s">
        <v>112</v>
      </c>
      <c r="S8" s="87"/>
    </row>
    <row r="9" spans="2:19" ht="16.5" customHeight="1">
      <c r="B9" s="281"/>
      <c r="C9" s="281"/>
      <c r="D9" s="282" t="str">
        <f>'Liquidacion Helena Carrascova'!C37</f>
        <v>Helena Carrascova</v>
      </c>
      <c r="E9" s="282"/>
      <c r="F9" s="282"/>
      <c r="G9" s="282"/>
      <c r="H9" s="282"/>
      <c r="I9" s="282"/>
      <c r="J9" s="282"/>
      <c r="L9" s="86"/>
      <c r="M9" s="91" t="s">
        <v>113</v>
      </c>
      <c r="O9" s="86"/>
      <c r="P9" s="86"/>
    </row>
    <row r="10" spans="2:19" ht="17.25" customHeight="1">
      <c r="B10" s="84"/>
      <c r="C10" s="84"/>
      <c r="D10" s="84"/>
      <c r="E10" s="84"/>
      <c r="F10" s="287">
        <f>'Liquidacion Helena Carrascova'!C40</f>
        <v>38477</v>
      </c>
      <c r="G10" s="287"/>
      <c r="H10" s="287"/>
      <c r="I10" s="287"/>
      <c r="J10" s="287"/>
      <c r="L10" s="86"/>
      <c r="M10" s="86"/>
      <c r="N10" s="91" t="s">
        <v>114</v>
      </c>
      <c r="O10" s="86"/>
      <c r="P10" s="92"/>
    </row>
    <row r="11" spans="2:19" ht="16.5" customHeight="1">
      <c r="B11" s="84"/>
      <c r="C11" s="84"/>
      <c r="D11" s="277" t="str">
        <f>'Liquidacion Helena Carrascova'!C39</f>
        <v>Gerencia</v>
      </c>
      <c r="E11" s="278"/>
      <c r="F11" s="278"/>
      <c r="G11" s="278"/>
      <c r="H11" s="278"/>
      <c r="L11" s="86"/>
      <c r="M11" s="91" t="s">
        <v>115</v>
      </c>
      <c r="O11" s="86"/>
      <c r="P11" s="86"/>
      <c r="Q11" s="86"/>
    </row>
    <row r="12" spans="2:19" ht="27" customHeight="1"/>
    <row r="13" spans="2:19" ht="19.5" customHeight="1"/>
    <row r="14" spans="2:19" ht="4.5" customHeight="1"/>
    <row r="15" spans="2:19" ht="18.75" customHeight="1">
      <c r="B15" s="284">
        <f>'Liquidacion Helena Carrascova'!C3</f>
        <v>30</v>
      </c>
      <c r="C15" s="284"/>
      <c r="D15" s="284"/>
      <c r="E15" s="284"/>
      <c r="F15" s="284"/>
      <c r="G15" s="52"/>
      <c r="H15" s="285"/>
      <c r="I15" s="285"/>
      <c r="J15" s="285"/>
      <c r="K15" s="285"/>
      <c r="L15" s="285"/>
      <c r="M15" s="285"/>
      <c r="O15" s="285"/>
      <c r="P15" s="285"/>
      <c r="Q15" s="285"/>
      <c r="R15" s="285"/>
      <c r="S15" s="285"/>
    </row>
    <row r="16" spans="2:19" ht="19.5" customHeight="1"/>
    <row r="18" spans="2:19" ht="16.5" customHeight="1"/>
    <row r="19" spans="2:19" ht="18.75" customHeight="1">
      <c r="Q19" t="s">
        <v>116</v>
      </c>
    </row>
    <row r="20" spans="2:19" ht="14.25" customHeight="1">
      <c r="B20" s="83" t="s">
        <v>117</v>
      </c>
    </row>
    <row r="21" spans="2:19" ht="8.25" customHeight="1"/>
    <row r="22" spans="2:19" ht="15.75" customHeight="1">
      <c r="B22" s="284" t="str">
        <f>'Liquidacion Helena Carrascova'!B8</f>
        <v>Sueldo base</v>
      </c>
      <c r="C22" s="284"/>
      <c r="D22" s="284"/>
      <c r="E22" s="284"/>
      <c r="F22" s="284"/>
      <c r="G22" s="284"/>
      <c r="H22" s="284"/>
      <c r="I22" s="88"/>
      <c r="J22" s="286">
        <f>'Liquidacion Helena Carrascova'!C8</f>
        <v>1365800</v>
      </c>
      <c r="K22" s="286"/>
      <c r="L22" s="286"/>
      <c r="M22" s="286"/>
      <c r="N22" s="88"/>
      <c r="O22" s="284"/>
      <c r="P22" s="284"/>
      <c r="Q22" s="284"/>
      <c r="R22" s="284"/>
      <c r="S22" s="284"/>
    </row>
    <row r="23" spans="2:19" ht="4.5" customHeight="1">
      <c r="B23" s="88"/>
      <c r="C23" s="88"/>
      <c r="D23" s="88"/>
      <c r="E23" s="88"/>
      <c r="F23" s="88"/>
      <c r="G23" s="88"/>
      <c r="H23" s="88"/>
      <c r="I23" s="88"/>
      <c r="J23" s="89"/>
      <c r="K23" s="89"/>
      <c r="L23" s="89"/>
      <c r="M23" s="89"/>
      <c r="N23" s="88"/>
      <c r="O23" s="88"/>
      <c r="P23" s="88"/>
      <c r="Q23" s="88"/>
      <c r="R23" s="88"/>
      <c r="S23" s="88"/>
    </row>
    <row r="24" spans="2:19" ht="15.75" customHeight="1">
      <c r="B24" s="284" t="str">
        <f>'Liquidacion Helena Carrascova'!B9</f>
        <v>Gratificación</v>
      </c>
      <c r="C24" s="284"/>
      <c r="D24" s="284"/>
      <c r="E24" s="284"/>
      <c r="F24" s="284"/>
      <c r="G24" s="284"/>
      <c r="H24" s="284"/>
      <c r="I24" s="88"/>
      <c r="J24" s="286">
        <f>'Liquidacion Helena Carrascova'!C9</f>
        <v>0</v>
      </c>
      <c r="K24" s="286"/>
      <c r="L24" s="286"/>
      <c r="M24" s="286"/>
      <c r="N24" s="88"/>
      <c r="O24" s="284"/>
      <c r="P24" s="284"/>
      <c r="Q24" s="284"/>
      <c r="R24" s="284"/>
      <c r="S24" s="284"/>
    </row>
    <row r="25" spans="2:19" ht="4.5" customHeight="1">
      <c r="B25" s="100"/>
      <c r="C25" s="100"/>
      <c r="D25" s="100"/>
      <c r="E25" s="100"/>
      <c r="F25" s="100"/>
      <c r="G25" s="100"/>
      <c r="H25" s="100"/>
      <c r="I25" s="88"/>
      <c r="J25" s="99"/>
      <c r="K25" s="99"/>
      <c r="L25" s="99"/>
      <c r="M25" s="99"/>
      <c r="N25" s="88"/>
      <c r="O25" s="100"/>
      <c r="P25" s="100"/>
      <c r="Q25" s="100"/>
      <c r="R25" s="100"/>
      <c r="S25" s="100"/>
    </row>
    <row r="26" spans="2:19" ht="15.75" customHeight="1">
      <c r="B26" s="284" t="str">
        <f>'Liquidacion Helena Carrascova'!B24</f>
        <v>Colación</v>
      </c>
      <c r="C26" s="284"/>
      <c r="D26" s="284"/>
      <c r="E26" s="284"/>
      <c r="F26" s="284"/>
      <c r="G26" s="284"/>
      <c r="H26" s="284"/>
      <c r="I26" s="88"/>
      <c r="J26" s="286">
        <f>'Liquidacion Helena Carrascova'!C24</f>
        <v>0</v>
      </c>
      <c r="K26" s="286"/>
      <c r="L26" s="286"/>
      <c r="M26" s="286"/>
      <c r="N26" s="88"/>
      <c r="O26" s="100"/>
      <c r="P26" s="100"/>
      <c r="Q26" s="100"/>
      <c r="R26" s="100"/>
      <c r="S26" s="100"/>
    </row>
    <row r="27" spans="2:19" ht="6" customHeight="1">
      <c r="B27" s="100"/>
      <c r="C27" s="100"/>
      <c r="D27" s="100"/>
      <c r="E27" s="100"/>
      <c r="F27" s="100"/>
      <c r="G27" s="100"/>
      <c r="H27" s="100"/>
      <c r="I27" s="88"/>
      <c r="J27" s="99"/>
      <c r="K27" s="99"/>
      <c r="L27" s="99"/>
      <c r="M27" s="99"/>
      <c r="N27" s="88"/>
      <c r="O27" s="100"/>
      <c r="P27" s="100"/>
      <c r="Q27" s="100"/>
      <c r="R27" s="100"/>
      <c r="S27" s="100"/>
    </row>
    <row r="28" spans="2:19" ht="15.6" customHeight="1">
      <c r="B28" s="284" t="str">
        <f>'Liquidacion Helena Carrascova'!B25</f>
        <v>Movilización</v>
      </c>
      <c r="C28" s="284"/>
      <c r="D28" s="284"/>
      <c r="E28" s="284"/>
      <c r="F28" s="284"/>
      <c r="G28" s="284"/>
      <c r="H28" s="284"/>
      <c r="I28" s="88"/>
      <c r="J28" s="286">
        <f>'Liquidacion Helena Carrascova'!C25</f>
        <v>0</v>
      </c>
      <c r="K28" s="286"/>
      <c r="L28" s="286"/>
      <c r="M28" s="286"/>
      <c r="N28" s="88"/>
      <c r="O28" s="100"/>
      <c r="P28" s="100"/>
      <c r="Q28" s="100"/>
      <c r="R28" s="100"/>
      <c r="S28" s="100"/>
    </row>
    <row r="29" spans="2:19" ht="4.3499999999999996" customHeight="1">
      <c r="B29" s="100"/>
      <c r="C29" s="100"/>
      <c r="D29" s="100"/>
      <c r="E29" s="100"/>
      <c r="F29" s="100"/>
      <c r="G29" s="100"/>
      <c r="H29" s="100"/>
      <c r="I29" s="88"/>
      <c r="J29" s="99"/>
      <c r="K29" s="99"/>
      <c r="L29" s="99"/>
      <c r="M29" s="99"/>
      <c r="N29" s="88"/>
      <c r="O29" s="100"/>
      <c r="P29" s="100"/>
      <c r="Q29" s="100"/>
      <c r="R29" s="100"/>
      <c r="S29" s="100"/>
    </row>
    <row r="30" spans="2:19" ht="15.6" customHeight="1">
      <c r="B30" s="284"/>
      <c r="C30" s="284"/>
      <c r="D30" s="284"/>
      <c r="E30" s="284"/>
      <c r="F30" s="284"/>
      <c r="G30" s="284"/>
      <c r="H30" s="284"/>
      <c r="I30" s="88"/>
      <c r="J30" s="286"/>
      <c r="K30" s="286"/>
      <c r="L30" s="286"/>
      <c r="M30" s="286"/>
      <c r="N30" s="88"/>
      <c r="O30" s="100"/>
      <c r="P30" s="100"/>
      <c r="Q30" s="100"/>
      <c r="R30" s="100"/>
      <c r="S30" s="100"/>
    </row>
    <row r="31" spans="2:19" ht="14.25" customHeight="1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</row>
    <row r="32" spans="2:19" ht="18.75">
      <c r="B32" s="90" t="s">
        <v>118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</row>
    <row r="33" spans="2:19" ht="6.75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2:19" ht="15.75" customHeight="1">
      <c r="B34" s="284" t="str">
        <f>'Liquidacion Helena Carrascova'!C6</f>
        <v>Habitat</v>
      </c>
      <c r="C34" s="284"/>
      <c r="D34" s="284"/>
      <c r="E34" s="284"/>
      <c r="F34" s="284"/>
      <c r="G34" s="284"/>
      <c r="H34" s="284"/>
      <c r="I34" s="88"/>
      <c r="J34" s="284"/>
      <c r="K34" s="284"/>
      <c r="L34" s="284"/>
      <c r="M34" s="284"/>
      <c r="N34" s="88"/>
      <c r="O34" s="286">
        <f>'Liquidacion Helena Carrascova'!E8</f>
        <v>153926</v>
      </c>
      <c r="P34" s="286"/>
      <c r="Q34" s="286"/>
      <c r="R34" s="286"/>
      <c r="S34" s="286"/>
    </row>
    <row r="35" spans="2:19" ht="6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9"/>
      <c r="P35" s="89"/>
      <c r="Q35" s="89"/>
      <c r="R35" s="89"/>
      <c r="S35" s="89"/>
    </row>
    <row r="36" spans="2:19" ht="15.75" customHeight="1">
      <c r="B36" s="284" t="str">
        <f>'Liquidacion Helena Carrascova'!D4</f>
        <v>ISAPRE Vida Tres</v>
      </c>
      <c r="C36" s="284"/>
      <c r="D36" s="284"/>
      <c r="E36" s="284"/>
      <c r="F36" s="284"/>
      <c r="G36" s="284"/>
      <c r="H36" s="284"/>
      <c r="I36" s="88"/>
      <c r="J36" s="284"/>
      <c r="K36" s="284"/>
      <c r="L36" s="284"/>
      <c r="M36" s="284"/>
      <c r="N36" s="88"/>
      <c r="O36" s="286">
        <f>'Liquidacion Helena Carrascova'!E5</f>
        <v>172567</v>
      </c>
      <c r="P36" s="286"/>
      <c r="Q36" s="286"/>
      <c r="R36" s="286"/>
      <c r="S36" s="286"/>
    </row>
    <row r="37" spans="2:19" ht="5.0999999999999996" customHeight="1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  <c r="P37" s="89"/>
      <c r="Q37" s="89"/>
      <c r="R37" s="89"/>
      <c r="S37" s="89"/>
    </row>
    <row r="38" spans="2:19" ht="15" customHeight="1">
      <c r="B38" s="284" t="str">
        <f>'Liquidacion Helena Carrascova'!D11</f>
        <v>Impuesto Unico</v>
      </c>
      <c r="C38" s="284"/>
      <c r="D38" s="284"/>
      <c r="E38" s="284"/>
      <c r="F38" s="284"/>
      <c r="G38" s="284"/>
      <c r="H38" s="284"/>
      <c r="I38" s="88"/>
      <c r="J38" s="284"/>
      <c r="K38" s="284"/>
      <c r="L38" s="284"/>
      <c r="M38" s="284"/>
      <c r="N38" s="88"/>
      <c r="O38" s="286">
        <f>'Liquidacion Helena Carrascova'!E11</f>
        <v>10492</v>
      </c>
      <c r="P38" s="286"/>
      <c r="Q38" s="286"/>
      <c r="R38" s="286"/>
      <c r="S38" s="286"/>
    </row>
    <row r="39" spans="2:19" ht="6" customHeight="1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</row>
    <row r="40" spans="2:19" ht="15.75" customHeight="1">
      <c r="B40" s="284" t="str">
        <f>'Liquidacion Helena Carrascova'!D12</f>
        <v>Seg. Cesantia (0,6 %)</v>
      </c>
      <c r="C40" s="284"/>
      <c r="D40" s="284"/>
      <c r="E40" s="284"/>
      <c r="F40" s="284"/>
      <c r="G40" s="284"/>
      <c r="H40" s="284"/>
      <c r="I40" s="88"/>
      <c r="J40" s="284"/>
      <c r="K40" s="284"/>
      <c r="L40" s="284"/>
      <c r="M40" s="284"/>
      <c r="N40" s="88"/>
      <c r="O40" s="286">
        <f>'Liquidacion Helena Carrascova'!E12</f>
        <v>0</v>
      </c>
      <c r="P40" s="286"/>
      <c r="Q40" s="286"/>
      <c r="R40" s="286"/>
      <c r="S40" s="286"/>
    </row>
    <row r="41" spans="2:19" ht="9" customHeight="1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2:19"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</row>
    <row r="43" spans="2:19" ht="18" customHeight="1">
      <c r="B43" s="88"/>
      <c r="C43" s="88"/>
      <c r="D43" s="88"/>
      <c r="E43" s="88"/>
      <c r="F43" s="88"/>
      <c r="G43" s="88"/>
      <c r="H43" s="88"/>
      <c r="I43" s="88"/>
      <c r="J43" s="286">
        <f>'Liquidacion Helena Carrascova'!C27</f>
        <v>1365800</v>
      </c>
      <c r="K43" s="286"/>
      <c r="L43" s="286"/>
      <c r="M43" s="286"/>
      <c r="N43" s="88"/>
      <c r="O43" s="88"/>
      <c r="P43" s="286">
        <f>'Liquidacion Helena Carrascova'!E19</f>
        <v>336985</v>
      </c>
      <c r="Q43" s="286"/>
      <c r="R43" s="286"/>
      <c r="S43" s="286"/>
    </row>
    <row r="44" spans="2:19" ht="3" customHeight="1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</row>
    <row r="45" spans="2:19" ht="6.75" customHeight="1"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4"/>
      <c r="N45" s="88"/>
      <c r="O45" s="284"/>
      <c r="P45" s="284"/>
      <c r="Q45" s="284"/>
      <c r="R45" s="284"/>
      <c r="S45" s="284"/>
    </row>
    <row r="46" spans="2:19">
      <c r="B46" s="88"/>
      <c r="C46" s="88"/>
      <c r="D46" s="88"/>
      <c r="E46" s="88"/>
      <c r="F46" s="88"/>
      <c r="G46" s="88"/>
      <c r="H46" s="88"/>
      <c r="I46" s="88"/>
      <c r="J46" s="286">
        <f>'Liquidacion Helena Carrascova'!E29</f>
        <v>1028815</v>
      </c>
      <c r="K46" s="286"/>
      <c r="L46" s="286"/>
      <c r="M46" s="286"/>
      <c r="N46" s="286"/>
      <c r="O46" s="286"/>
      <c r="P46" s="286"/>
      <c r="Q46" s="286"/>
      <c r="R46" s="286"/>
      <c r="S46" s="286"/>
    </row>
    <row r="47" spans="2:19" ht="16.5" customHeight="1"/>
    <row r="48" spans="2:19" ht="15.75" customHeight="1">
      <c r="O48" s="285"/>
      <c r="P48" s="285"/>
      <c r="R48" s="285"/>
      <c r="S48" s="285"/>
    </row>
    <row r="49" spans="2:19" ht="6.75" customHeight="1"/>
    <row r="50" spans="2:19" ht="16.5" customHeight="1">
      <c r="B50" s="285"/>
      <c r="C50" s="285"/>
      <c r="D50" s="285"/>
      <c r="E50" s="285"/>
      <c r="O50" s="285"/>
      <c r="P50" s="285"/>
      <c r="Q50" s="285"/>
      <c r="R50" s="285"/>
      <c r="S50" s="285"/>
    </row>
  </sheetData>
  <mergeCells count="42">
    <mergeCell ref="B50:E50"/>
    <mergeCell ref="O50:S50"/>
    <mergeCell ref="J43:M43"/>
    <mergeCell ref="P43:S43"/>
    <mergeCell ref="B45:M45"/>
    <mergeCell ref="O45:S45"/>
    <mergeCell ref="J46:S46"/>
    <mergeCell ref="O48:P48"/>
    <mergeCell ref="R48:S48"/>
    <mergeCell ref="B38:H38"/>
    <mergeCell ref="J38:M38"/>
    <mergeCell ref="O38:S38"/>
    <mergeCell ref="B40:H40"/>
    <mergeCell ref="J40:M40"/>
    <mergeCell ref="O40:S40"/>
    <mergeCell ref="B36:H36"/>
    <mergeCell ref="J36:M36"/>
    <mergeCell ref="O36:S36"/>
    <mergeCell ref="B24:H24"/>
    <mergeCell ref="J24:M24"/>
    <mergeCell ref="O24:S24"/>
    <mergeCell ref="B26:H26"/>
    <mergeCell ref="J26:M26"/>
    <mergeCell ref="B28:H28"/>
    <mergeCell ref="J28:M28"/>
    <mergeCell ref="B30:H30"/>
    <mergeCell ref="J30:M30"/>
    <mergeCell ref="B34:H34"/>
    <mergeCell ref="J34:M34"/>
    <mergeCell ref="O34:S34"/>
    <mergeCell ref="B15:F15"/>
    <mergeCell ref="H15:M15"/>
    <mergeCell ref="O15:S15"/>
    <mergeCell ref="B22:H22"/>
    <mergeCell ref="J22:M22"/>
    <mergeCell ref="O22:S22"/>
    <mergeCell ref="D11:H11"/>
    <mergeCell ref="R3:S3"/>
    <mergeCell ref="C8:H8"/>
    <mergeCell ref="B9:C9"/>
    <mergeCell ref="D9:J9"/>
    <mergeCell ref="F10:J10"/>
  </mergeCells>
  <pageMargins left="0.19685039370078741" right="0.19685039370078741" top="0.19685039370078741" bottom="0.19685039370078741" header="0" footer="0"/>
  <pageSetup paperSize="119" scale="98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2464-3747-4549-9160-1DF19B8BB7B8}">
  <dimension ref="B1:T55"/>
  <sheetViews>
    <sheetView topLeftCell="A5" workbookViewId="0">
      <selection activeCell="E41" sqref="E41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6.140625" bestFit="1" customWidth="1"/>
    <col min="7" max="7" width="11" bestFit="1" customWidth="1"/>
    <col min="8" max="8" width="21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tr">
        <f>+J10</f>
        <v>JULIO</v>
      </c>
      <c r="C1" s="2" t="str">
        <f>+CONCATENATE(B1," ",D1)</f>
        <v>JULIO 2022</v>
      </c>
      <c r="D1">
        <f>+'Impto Unico'!C1</f>
        <v>2022</v>
      </c>
    </row>
    <row r="3" spans="2:14">
      <c r="B3" s="4" t="s">
        <v>1</v>
      </c>
      <c r="C3" s="5">
        <v>30</v>
      </c>
      <c r="D3" t="s">
        <v>93</v>
      </c>
      <c r="E3" s="3">
        <v>380000</v>
      </c>
      <c r="G3" s="6"/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D4" t="s">
        <v>96</v>
      </c>
      <c r="E4" s="73">
        <v>0</v>
      </c>
      <c r="G4" s="6"/>
      <c r="I4" s="4"/>
      <c r="J4" s="7">
        <v>81.599999999999994</v>
      </c>
      <c r="K4" s="7">
        <v>122.6</v>
      </c>
      <c r="L4" s="7">
        <f>+J4</f>
        <v>81.599999999999994</v>
      </c>
      <c r="M4" s="142"/>
      <c r="N4" s="4"/>
    </row>
    <row r="5" spans="2:14">
      <c r="B5" s="4" t="s">
        <v>9</v>
      </c>
      <c r="C5" s="10" t="s">
        <v>10</v>
      </c>
      <c r="E5" s="3">
        <f>+ROUND(E4*I6,0)</f>
        <v>0</v>
      </c>
      <c r="G5" s="6"/>
      <c r="I5" s="4"/>
      <c r="J5" s="4"/>
      <c r="K5" s="4"/>
      <c r="L5" s="11">
        <f>L4*7%</f>
        <v>5.7119999999999997</v>
      </c>
      <c r="M5" s="143">
        <f>(C8+C12+C11)*25%</f>
        <v>303757.5</v>
      </c>
      <c r="N5" s="4"/>
    </row>
    <row r="6" spans="2:14">
      <c r="B6" s="4" t="s">
        <v>11</v>
      </c>
      <c r="C6" s="12" t="s">
        <v>136</v>
      </c>
      <c r="D6" s="82">
        <v>7.0000000000000007E-2</v>
      </c>
      <c r="E6" s="3">
        <f>+C19*D6</f>
        <v>95581.266666666663</v>
      </c>
      <c r="G6" s="6"/>
      <c r="I6" s="13">
        <f>+'Impto Unico'!L2</f>
        <v>33417.26</v>
      </c>
      <c r="J6" s="14">
        <f>+J4*$I$6</f>
        <v>2726848.4160000002</v>
      </c>
      <c r="K6" s="14">
        <f>K4*$I$6</f>
        <v>4096956.0759999999</v>
      </c>
      <c r="L6" s="15">
        <f>L5*I6</f>
        <v>190879.38912000001</v>
      </c>
      <c r="M6" s="14">
        <f>(380000*4.75)*(1/12)</f>
        <v>150416.66666666666</v>
      </c>
      <c r="N6" s="16">
        <f>C19-E8-IF((E9+E10)&lt;L6,(E9+E10),L6)-E12-E15-E16</f>
        <v>1109288.6666666665</v>
      </c>
    </row>
    <row r="7" spans="2:14" ht="15.75" thickBot="1">
      <c r="C7" s="17"/>
      <c r="D7" s="18"/>
      <c r="G7" s="6"/>
      <c r="I7" s="19"/>
      <c r="J7" s="20"/>
      <c r="K7" s="20"/>
      <c r="L7" s="21"/>
      <c r="M7" s="20"/>
      <c r="N7" s="17"/>
    </row>
    <row r="8" spans="2:14">
      <c r="B8" s="22" t="s">
        <v>13</v>
      </c>
      <c r="C8" s="131">
        <f>E3</f>
        <v>380000</v>
      </c>
      <c r="D8" s="152" t="str">
        <f>C6</f>
        <v>PlanVital</v>
      </c>
      <c r="E8" s="23">
        <f>ROUND(IF(C19&lt;J6,C19*J24,J6*J24),0)</f>
        <v>152384</v>
      </c>
      <c r="I8" s="74"/>
    </row>
    <row r="9" spans="2:14">
      <c r="B9" s="24" t="s">
        <v>14</v>
      </c>
      <c r="C9" s="17">
        <f>IF(M5&lt;M6,M5,M6)</f>
        <v>150416.66666666666</v>
      </c>
      <c r="D9" s="24" t="str">
        <f>D4</f>
        <v>FONASA</v>
      </c>
      <c r="E9" s="25">
        <f>+ROUND(IF(L6&lt;=E6,L6,E6),0)</f>
        <v>95581</v>
      </c>
      <c r="G9">
        <v>7510</v>
      </c>
      <c r="H9" s="74"/>
    </row>
    <row r="10" spans="2:14">
      <c r="B10" s="24"/>
      <c r="C10" s="31"/>
      <c r="D10" s="24" t="s">
        <v>16</v>
      </c>
      <c r="E10" s="26">
        <v>0</v>
      </c>
      <c r="G10">
        <v>88071</v>
      </c>
      <c r="H10" s="97"/>
      <c r="J10" s="1" t="str">
        <f>+'Impto Unico'!B1</f>
        <v>JULIO</v>
      </c>
      <c r="K10" t="s">
        <v>18</v>
      </c>
    </row>
    <row r="11" spans="2:14">
      <c r="B11" s="24" t="s">
        <v>137</v>
      </c>
      <c r="C11" s="31">
        <v>57000</v>
      </c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13291</v>
      </c>
      <c r="I11" s="27" t="s">
        <v>20</v>
      </c>
      <c r="J11" s="28">
        <f>+'Impto Unico'!C2</f>
        <v>777019.5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>
      <c r="B12" s="24" t="s">
        <v>138</v>
      </c>
      <c r="C12" s="31">
        <v>778030</v>
      </c>
      <c r="D12" s="24" t="s">
        <v>98</v>
      </c>
      <c r="E12" s="25">
        <f>ROUND(IF(C5="INDEFINIDO",(IF(C19&gt;$K$6,($K$6*$M$22),($C$19*M22))),0),0)</f>
        <v>8193</v>
      </c>
      <c r="H12" s="56"/>
      <c r="I12" s="27"/>
      <c r="J12" s="28">
        <f>+'Impto Unico'!C3</f>
        <v>777019.51</v>
      </c>
      <c r="K12" s="28">
        <f>+'Impto Unico'!D3</f>
        <v>1726710</v>
      </c>
      <c r="L12" s="28">
        <f>+'Impto Unico'!E3</f>
        <v>0.04</v>
      </c>
      <c r="M12" s="28">
        <f>+'Impto Unico'!F3</f>
        <v>31080.78</v>
      </c>
      <c r="N12" s="28">
        <f>+'Impto Unico'!G3</f>
        <v>2.1999999999999999E-2</v>
      </c>
    </row>
    <row r="13" spans="2:14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f>+'Impto Unico'!C4</f>
        <v>1726710.01</v>
      </c>
      <c r="K13" s="28">
        <f>+'Impto Unico'!D4</f>
        <v>2877850</v>
      </c>
      <c r="L13" s="28">
        <f>+'Impto Unico'!E4</f>
        <v>0.08</v>
      </c>
      <c r="M13" s="28">
        <f>+'Impto Unico'!F4</f>
        <v>100149.18</v>
      </c>
      <c r="N13" s="28">
        <f>+'Impto Unico'!G4</f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f>+'Impto Unico'!C5</f>
        <v>2877850.01</v>
      </c>
      <c r="K14" s="28">
        <f>+'Impto Unico'!D5</f>
        <v>4028990</v>
      </c>
      <c r="L14" s="28">
        <f>+'Impto Unico'!E5</f>
        <v>0.13500000000000001</v>
      </c>
      <c r="M14" s="28">
        <f>+'Impto Unico'!F5</f>
        <v>258430.93</v>
      </c>
      <c r="N14" s="28">
        <f>+'Impto Unico'!G5</f>
        <v>7.0900000000000005E-2</v>
      </c>
    </row>
    <row r="15" spans="2:14">
      <c r="B15" s="24"/>
      <c r="C15" s="25"/>
      <c r="D15" s="24" t="s">
        <v>28</v>
      </c>
      <c r="E15" s="31"/>
      <c r="I15" s="27"/>
      <c r="J15" s="28">
        <f>+'Impto Unico'!C6</f>
        <v>4028990.01</v>
      </c>
      <c r="K15" s="28">
        <f>+'Impto Unico'!D6</f>
        <v>5180130</v>
      </c>
      <c r="L15" s="28">
        <f>+'Impto Unico'!E6</f>
        <v>0.23</v>
      </c>
      <c r="M15" s="28">
        <f>+'Impto Unico'!F6</f>
        <v>641184.98</v>
      </c>
      <c r="N15" s="28">
        <f>+'Impto Unico'!G6</f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f>+'Impto Unico'!C7</f>
        <v>5180130.01</v>
      </c>
      <c r="K16" s="28">
        <f>+'Impto Unico'!D7</f>
        <v>6906840</v>
      </c>
      <c r="L16" s="28">
        <f>+'Impto Unico'!E7</f>
        <v>0.30399999999999999</v>
      </c>
      <c r="M16" s="28">
        <f>+'Impto Unico'!F7</f>
        <v>1024514.6</v>
      </c>
      <c r="N16" s="28">
        <f>+'Impto Unico'!G7</f>
        <v>0.15570000000000001</v>
      </c>
    </row>
    <row r="17" spans="2:20">
      <c r="B17" s="24"/>
      <c r="C17" s="25"/>
      <c r="D17" s="24"/>
      <c r="E17" s="25"/>
      <c r="I17" s="27"/>
      <c r="J17" s="28">
        <f>+'Impto Unico'!C8</f>
        <v>6906840.0099999998</v>
      </c>
      <c r="K17" s="28">
        <f>+'Impto Unico'!D8</f>
        <v>8633550</v>
      </c>
      <c r="L17" s="28">
        <f>+'Impto Unico'!E8</f>
        <v>0.35</v>
      </c>
      <c r="M17" s="28">
        <f>+'Impto Unico'!F8</f>
        <v>1342229.24</v>
      </c>
      <c r="N17" s="28">
        <f>+'Impto Unico'!G8</f>
        <v>0.19450000000000001</v>
      </c>
    </row>
    <row r="18" spans="2:20">
      <c r="B18" s="24"/>
      <c r="C18" s="25"/>
      <c r="D18" s="24"/>
      <c r="E18" s="25"/>
      <c r="I18" s="27"/>
      <c r="J18" s="28">
        <f>+'Impto Unico'!C9</f>
        <v>8633550.0099999998</v>
      </c>
      <c r="K18" s="28" t="str">
        <f>+'Impto Unico'!D9</f>
        <v>Y MÁS</v>
      </c>
      <c r="L18" s="28">
        <f>+'Impto Unico'!E9</f>
        <v>0.4</v>
      </c>
      <c r="M18" s="28">
        <f>+'Impto Unico'!F9</f>
        <v>1773906.74</v>
      </c>
      <c r="N18" s="28" t="str">
        <f>+'Impto Unico'!G9</f>
        <v>MÁS DE 19,45%</v>
      </c>
    </row>
    <row r="19" spans="2:20">
      <c r="B19" s="35" t="s">
        <v>33</v>
      </c>
      <c r="C19" s="36">
        <f>C8+C9+C12-C13+C10+C11</f>
        <v>1365446.6666666665</v>
      </c>
      <c r="D19" s="35" t="s">
        <v>34</v>
      </c>
      <c r="E19" s="37">
        <f>SUM(E8:E17)</f>
        <v>269449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99</v>
      </c>
      <c r="C24" s="25">
        <v>21000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>
      <c r="B25" s="24" t="s">
        <v>100</v>
      </c>
      <c r="C25" s="25">
        <v>21000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1407446.6666666665</v>
      </c>
      <c r="D27" s="48" t="s">
        <v>46</v>
      </c>
      <c r="E27" s="49">
        <f>C19-E19+C24+C25</f>
        <v>1137997.6666666665</v>
      </c>
      <c r="H27" s="74"/>
      <c r="I27" s="4" t="s">
        <v>101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I28" s="4" t="s">
        <v>95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</f>
        <v>1137997.6666666665</v>
      </c>
      <c r="I29" s="56"/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2.4E-2</v>
      </c>
      <c r="D32" s="16">
        <f>IF(C19&gt;$K$6,($K$6*$C$32),($C$19*C32))</f>
        <v>32770.719999999994</v>
      </c>
      <c r="G32" s="6"/>
    </row>
    <row r="33" spans="2:10">
      <c r="B33" s="4" t="s">
        <v>123</v>
      </c>
      <c r="C33" s="39">
        <v>9.2999999999999992E-3</v>
      </c>
      <c r="D33" s="16">
        <f>IF(C19&lt;$J$6,C19*$C$33,$J$6*$C$33)</f>
        <v>12698.653999999997</v>
      </c>
      <c r="E33" s="57"/>
      <c r="G33" s="6"/>
    </row>
    <row r="34" spans="2:10">
      <c r="B34" s="4" t="s">
        <v>51</v>
      </c>
      <c r="C34" s="39">
        <v>1.8599999999999998E-2</v>
      </c>
      <c r="D34" s="58">
        <f>IF(C19&lt;$J$6,C19*$C$34,$J$6*$C$34)</f>
        <v>25397.307999999994</v>
      </c>
      <c r="E34" s="57"/>
      <c r="G34" s="6"/>
    </row>
    <row r="35" spans="2:10">
      <c r="B35" s="7" t="s">
        <v>52</v>
      </c>
      <c r="C35" s="7"/>
      <c r="D35" s="59">
        <f>C27+D32+D33+D34</f>
        <v>1478313.3486666665</v>
      </c>
      <c r="E35" s="60"/>
      <c r="G35" s="6"/>
      <c r="I35">
        <f>128/4</f>
        <v>32</v>
      </c>
    </row>
    <row r="36" spans="2:10">
      <c r="B36" s="61"/>
      <c r="C36" s="62"/>
      <c r="E36" s="17"/>
      <c r="G36" s="6"/>
    </row>
    <row r="37" spans="2:10">
      <c r="B37" s="61" t="s">
        <v>102</v>
      </c>
      <c r="C37" s="61" t="s">
        <v>139</v>
      </c>
      <c r="E37" s="17"/>
      <c r="G37" s="6"/>
    </row>
    <row r="38" spans="2:10">
      <c r="B38" t="s">
        <v>104</v>
      </c>
      <c r="C38" s="62" t="s">
        <v>140</v>
      </c>
      <c r="E38" s="17"/>
    </row>
    <row r="39" spans="2:10">
      <c r="B39" s="63" t="s">
        <v>106</v>
      </c>
      <c r="C39" s="62" t="s">
        <v>141</v>
      </c>
      <c r="E39" s="17"/>
    </row>
    <row r="40" spans="2:10">
      <c r="B40" t="s">
        <v>108</v>
      </c>
      <c r="C40" s="144">
        <v>43009</v>
      </c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G44" s="102"/>
      <c r="H44" s="6"/>
      <c r="I44" s="17"/>
    </row>
    <row r="45" spans="2:10">
      <c r="B45" s="61"/>
      <c r="C45" s="69"/>
      <c r="D45" s="125"/>
      <c r="E45" s="17"/>
      <c r="G45" s="102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5F0-9F99-4893-A84D-23477AAF50BE}">
  <sheetPr>
    <pageSetUpPr fitToPage="1"/>
  </sheetPr>
  <dimension ref="B3:S52"/>
  <sheetViews>
    <sheetView showGridLines="0" topLeftCell="A13" zoomScale="120" zoomScaleNormal="120" zoomScaleSheetLayoutView="90" workbookViewId="0">
      <selection activeCell="U32" sqref="U32"/>
    </sheetView>
  </sheetViews>
  <sheetFormatPr baseColWidth="10" defaultColWidth="11.42578125" defaultRowHeight="15"/>
  <cols>
    <col min="1" max="1" width="7.42578125" customWidth="1"/>
    <col min="2" max="2" width="7.140625" customWidth="1"/>
    <col min="3" max="3" width="2.7109375" customWidth="1"/>
    <col min="4" max="4" width="5.140625" customWidth="1"/>
    <col min="5" max="5" width="4.42578125" customWidth="1"/>
    <col min="6" max="6" width="8.7109375" customWidth="1"/>
    <col min="7" max="7" width="1.28515625" customWidth="1"/>
    <col min="8" max="8" width="7" customWidth="1"/>
    <col min="9" max="9" width="1.42578125" customWidth="1"/>
    <col min="10" max="10" width="4.140625" customWidth="1"/>
    <col min="11" max="11" width="1.7109375" customWidth="1"/>
    <col min="12" max="12" width="9.28515625" customWidth="1"/>
    <col min="13" max="13" width="4.7109375" customWidth="1"/>
    <col min="14" max="14" width="1.28515625" customWidth="1"/>
    <col min="15" max="15" width="1.42578125" customWidth="1"/>
    <col min="16" max="16" width="11.42578125" customWidth="1"/>
    <col min="17" max="17" width="0.7109375" customWidth="1"/>
    <col min="18" max="18" width="7.7109375" customWidth="1"/>
    <col min="19" max="19" width="6.28515625" customWidth="1"/>
    <col min="20" max="20" width="7" customWidth="1"/>
  </cols>
  <sheetData>
    <row r="3" spans="2:19" ht="18.75">
      <c r="J3" s="83"/>
      <c r="K3" s="83"/>
      <c r="L3" s="83"/>
      <c r="M3" s="83"/>
      <c r="R3" s="279" t="str">
        <f>+'Liquidacion Rolando Carrasco'!C1</f>
        <v>JULIO 2022</v>
      </c>
      <c r="S3" s="280"/>
    </row>
    <row r="6" spans="2:19" ht="18.75">
      <c r="B6" s="83" t="s">
        <v>110</v>
      </c>
      <c r="C6" s="83"/>
      <c r="D6" s="83"/>
      <c r="E6" s="83"/>
      <c r="F6" s="83"/>
      <c r="G6" s="83"/>
      <c r="H6" s="83"/>
      <c r="I6" s="83"/>
      <c r="J6" s="83"/>
      <c r="L6" s="83" t="s">
        <v>111</v>
      </c>
      <c r="M6" s="83"/>
    </row>
    <row r="8" spans="2:19" ht="18">
      <c r="B8" s="84"/>
      <c r="C8" s="277" t="str">
        <f>'Liquidacion Angelis Fernandez'!C38</f>
        <v>25921895-0</v>
      </c>
      <c r="D8" s="278"/>
      <c r="E8" s="278"/>
      <c r="F8" s="278"/>
      <c r="G8" s="278"/>
      <c r="H8" s="278"/>
      <c r="I8" s="85"/>
      <c r="L8" s="86"/>
      <c r="M8" s="86"/>
      <c r="P8" s="91" t="s">
        <v>112</v>
      </c>
      <c r="S8" s="87"/>
    </row>
    <row r="9" spans="2:19" ht="16.5" customHeight="1">
      <c r="B9" s="281"/>
      <c r="C9" s="281"/>
      <c r="D9" s="282" t="str">
        <f>'Liquidacion Angelis Fernandez'!C37</f>
        <v>Angelis Fernandez</v>
      </c>
      <c r="E9" s="282"/>
      <c r="F9" s="282"/>
      <c r="G9" s="282"/>
      <c r="H9" s="282"/>
      <c r="I9" s="282"/>
      <c r="J9" s="282"/>
      <c r="L9" s="86"/>
      <c r="M9" s="91" t="s">
        <v>113</v>
      </c>
      <c r="O9" s="86"/>
      <c r="P9" s="86"/>
    </row>
    <row r="10" spans="2:19" ht="17.25" customHeight="1">
      <c r="B10" s="84"/>
      <c r="C10" s="84"/>
      <c r="D10" s="84"/>
      <c r="E10" s="84"/>
      <c r="F10" s="287">
        <f>'Liquidacion Angelis Fernandez'!C40</f>
        <v>43009</v>
      </c>
      <c r="G10" s="287"/>
      <c r="H10" s="287"/>
      <c r="I10" s="287"/>
      <c r="J10" s="287"/>
      <c r="L10" s="86"/>
      <c r="M10" s="86"/>
      <c r="N10" s="91" t="s">
        <v>114</v>
      </c>
      <c r="O10" s="86"/>
      <c r="P10" s="92"/>
    </row>
    <row r="11" spans="2:19" ht="16.5" customHeight="1">
      <c r="B11" s="84"/>
      <c r="C11" s="84"/>
      <c r="D11" s="277" t="str">
        <f>'Liquidacion Angelis Fernandez'!C39</f>
        <v>Ventas</v>
      </c>
      <c r="E11" s="278"/>
      <c r="F11" s="278"/>
      <c r="G11" s="278"/>
      <c r="H11" s="278"/>
      <c r="L11" s="86"/>
      <c r="M11" s="91" t="s">
        <v>115</v>
      </c>
      <c r="O11" s="86"/>
      <c r="P11" s="86"/>
      <c r="Q11" s="86"/>
    </row>
    <row r="12" spans="2:19" ht="27" customHeight="1"/>
    <row r="13" spans="2:19" ht="19.5" customHeight="1"/>
    <row r="14" spans="2:19" ht="4.5" customHeight="1"/>
    <row r="15" spans="2:19" ht="18.75" customHeight="1">
      <c r="B15" s="284">
        <f>'Liquidacion Angelis Fernandez'!C3</f>
        <v>30</v>
      </c>
      <c r="C15" s="284"/>
      <c r="D15" s="284"/>
      <c r="E15" s="284"/>
      <c r="F15" s="284"/>
      <c r="G15" s="52"/>
      <c r="H15" s="285"/>
      <c r="I15" s="285"/>
      <c r="J15" s="285"/>
      <c r="K15" s="285"/>
      <c r="L15" s="285"/>
      <c r="M15" s="285"/>
      <c r="O15" s="285"/>
      <c r="P15" s="285"/>
      <c r="Q15" s="285"/>
      <c r="R15" s="285"/>
      <c r="S15" s="285"/>
    </row>
    <row r="16" spans="2:19" ht="19.5" customHeight="1"/>
    <row r="18" spans="2:19" ht="16.5" customHeight="1"/>
    <row r="19" spans="2:19" ht="18.75" customHeight="1">
      <c r="Q19" t="s">
        <v>116</v>
      </c>
    </row>
    <row r="20" spans="2:19" ht="14.25" customHeight="1">
      <c r="B20" s="83" t="s">
        <v>117</v>
      </c>
    </row>
    <row r="21" spans="2:19" ht="8.25" customHeight="1"/>
    <row r="22" spans="2:19" ht="15.75" customHeight="1">
      <c r="B22" s="284" t="str">
        <f>'Liquidacion Angelis Fernandez'!B8</f>
        <v>Sueldo base</v>
      </c>
      <c r="C22" s="284"/>
      <c r="D22" s="284"/>
      <c r="E22" s="284"/>
      <c r="F22" s="284"/>
      <c r="G22" s="284"/>
      <c r="H22" s="284"/>
      <c r="I22" s="88"/>
      <c r="J22" s="286">
        <f>'Liquidacion Angelis Fernandez'!C8</f>
        <v>380000</v>
      </c>
      <c r="K22" s="286"/>
      <c r="L22" s="286"/>
      <c r="M22" s="286"/>
      <c r="N22" s="88"/>
      <c r="O22" s="284"/>
      <c r="P22" s="284"/>
      <c r="Q22" s="284"/>
      <c r="R22" s="284"/>
      <c r="S22" s="284"/>
    </row>
    <row r="23" spans="2:19" ht="4.5" customHeight="1">
      <c r="B23" s="88"/>
      <c r="C23" s="88"/>
      <c r="D23" s="88"/>
      <c r="E23" s="88"/>
      <c r="F23" s="88"/>
      <c r="G23" s="88"/>
      <c r="H23" s="88"/>
      <c r="I23" s="88"/>
      <c r="J23" s="89"/>
      <c r="K23" s="89"/>
      <c r="L23" s="89"/>
      <c r="M23" s="89"/>
      <c r="N23" s="88"/>
      <c r="O23" s="88"/>
      <c r="P23" s="88"/>
      <c r="Q23" s="88"/>
      <c r="R23" s="88"/>
      <c r="S23" s="88"/>
    </row>
    <row r="24" spans="2:19" ht="15.75" customHeight="1">
      <c r="B24" s="284" t="str">
        <f>'Liquidacion Angelis Fernandez'!B9</f>
        <v>Gratificación</v>
      </c>
      <c r="C24" s="284"/>
      <c r="D24" s="284"/>
      <c r="E24" s="284"/>
      <c r="F24" s="284"/>
      <c r="G24" s="284"/>
      <c r="H24" s="284"/>
      <c r="I24" s="88"/>
      <c r="J24" s="286">
        <f>'Liquidacion Angelis Fernandez'!C9</f>
        <v>150416.66666666666</v>
      </c>
      <c r="K24" s="286"/>
      <c r="L24" s="286"/>
      <c r="M24" s="286"/>
      <c r="N24" s="88"/>
      <c r="O24" s="284"/>
      <c r="P24" s="284"/>
      <c r="Q24" s="284"/>
      <c r="R24" s="284"/>
      <c r="S24" s="284"/>
    </row>
    <row r="25" spans="2:19" ht="4.5" customHeight="1">
      <c r="B25" s="100"/>
      <c r="C25" s="100"/>
      <c r="D25" s="100"/>
      <c r="E25" s="100"/>
      <c r="F25" s="100"/>
      <c r="G25" s="100"/>
      <c r="H25" s="100"/>
      <c r="I25" s="88"/>
      <c r="J25" s="99"/>
      <c r="K25" s="99"/>
      <c r="L25" s="99"/>
      <c r="M25" s="99"/>
      <c r="N25" s="88"/>
      <c r="O25" s="100"/>
      <c r="P25" s="100"/>
      <c r="Q25" s="100"/>
      <c r="R25" s="100"/>
      <c r="S25" s="100"/>
    </row>
    <row r="26" spans="2:19" ht="15.75" customHeight="1">
      <c r="B26" s="284" t="str">
        <f>'Liquidacion Angelis Fernandez'!B24</f>
        <v>Colación</v>
      </c>
      <c r="C26" s="284"/>
      <c r="D26" s="284"/>
      <c r="E26" s="284"/>
      <c r="F26" s="284"/>
      <c r="G26" s="284"/>
      <c r="H26" s="284"/>
      <c r="I26" s="88"/>
      <c r="J26" s="286">
        <f>'Liquidacion Angelis Fernandez'!C24</f>
        <v>21000</v>
      </c>
      <c r="K26" s="286"/>
      <c r="L26" s="286"/>
      <c r="M26" s="286"/>
      <c r="N26" s="88"/>
      <c r="O26" s="100"/>
      <c r="P26" s="100"/>
      <c r="Q26" s="100"/>
      <c r="R26" s="100"/>
      <c r="S26" s="100"/>
    </row>
    <row r="27" spans="2:19" ht="6" customHeight="1">
      <c r="B27" s="100"/>
      <c r="C27" s="100"/>
      <c r="D27" s="100"/>
      <c r="E27" s="100"/>
      <c r="F27" s="100"/>
      <c r="G27" s="100"/>
      <c r="H27" s="100"/>
      <c r="I27" s="88"/>
      <c r="J27" s="99"/>
      <c r="K27" s="99"/>
      <c r="L27" s="99"/>
      <c r="M27" s="99"/>
      <c r="N27" s="88"/>
      <c r="O27" s="100"/>
      <c r="P27" s="100"/>
      <c r="Q27" s="100"/>
      <c r="R27" s="100"/>
      <c r="S27" s="100"/>
    </row>
    <row r="28" spans="2:19" ht="15.6" customHeight="1">
      <c r="B28" s="284" t="str">
        <f>'Liquidacion Angelis Fernandez'!B25</f>
        <v>Movilización</v>
      </c>
      <c r="C28" s="284"/>
      <c r="D28" s="284"/>
      <c r="E28" s="284"/>
      <c r="F28" s="284"/>
      <c r="G28" s="284"/>
      <c r="H28" s="284"/>
      <c r="I28" s="88"/>
      <c r="J28" s="286">
        <f>'Liquidacion Angelis Fernandez'!C25</f>
        <v>21000</v>
      </c>
      <c r="K28" s="286"/>
      <c r="L28" s="286"/>
      <c r="M28" s="286"/>
      <c r="N28" s="88"/>
      <c r="O28" s="100"/>
      <c r="P28" s="100"/>
      <c r="Q28" s="100"/>
      <c r="R28" s="100"/>
      <c r="S28" s="100"/>
    </row>
    <row r="29" spans="2:19" ht="4.3499999999999996" customHeight="1">
      <c r="B29" s="100"/>
      <c r="C29" s="100"/>
      <c r="D29" s="100"/>
      <c r="E29" s="100"/>
      <c r="F29" s="100"/>
      <c r="G29" s="100"/>
      <c r="H29" s="100"/>
      <c r="I29" s="88"/>
      <c r="J29" s="99"/>
      <c r="K29" s="99"/>
      <c r="L29" s="99"/>
      <c r="M29" s="99"/>
      <c r="N29" s="88"/>
      <c r="O29" s="100"/>
      <c r="P29" s="100"/>
      <c r="Q29" s="100"/>
      <c r="R29" s="100"/>
      <c r="S29" s="100"/>
    </row>
    <row r="30" spans="2:19" ht="15.6" customHeight="1">
      <c r="B30" s="284" t="str">
        <f>'Liquidacion Angelis Fernandez'!B11</f>
        <v>Bono Responsabilidad</v>
      </c>
      <c r="C30" s="284"/>
      <c r="D30" s="284"/>
      <c r="E30" s="284"/>
      <c r="F30" s="284"/>
      <c r="G30" s="284"/>
      <c r="H30" s="284"/>
      <c r="I30" s="88"/>
      <c r="J30" s="286">
        <f>'Liquidacion Angelis Fernandez'!C11</f>
        <v>57000</v>
      </c>
      <c r="K30" s="286"/>
      <c r="L30" s="286"/>
      <c r="M30" s="286"/>
      <c r="N30" s="88"/>
      <c r="O30" s="100"/>
      <c r="P30" s="100"/>
      <c r="Q30" s="100"/>
      <c r="R30" s="100"/>
      <c r="S30" s="100"/>
    </row>
    <row r="31" spans="2:19" ht="8.4499999999999993" customHeight="1">
      <c r="B31" s="100"/>
      <c r="C31" s="100"/>
      <c r="D31" s="100"/>
      <c r="E31" s="100"/>
      <c r="F31" s="100"/>
      <c r="G31" s="100"/>
      <c r="H31" s="100"/>
      <c r="I31" s="88"/>
      <c r="J31" s="99"/>
      <c r="K31" s="99"/>
      <c r="L31" s="99"/>
      <c r="M31" s="99"/>
      <c r="N31" s="88"/>
      <c r="O31" s="100"/>
      <c r="P31" s="100"/>
      <c r="Q31" s="100"/>
      <c r="R31" s="100"/>
      <c r="S31" s="100"/>
    </row>
    <row r="32" spans="2:19" ht="15.6" customHeight="1">
      <c r="B32" s="284" t="str">
        <f>'Liquidacion Angelis Fernandez'!B12</f>
        <v>Comision Ventas</v>
      </c>
      <c r="C32" s="284"/>
      <c r="D32" s="284"/>
      <c r="E32" s="284"/>
      <c r="F32" s="284"/>
      <c r="G32" s="284"/>
      <c r="H32" s="284"/>
      <c r="I32" s="88"/>
      <c r="J32" s="286">
        <f>'Liquidacion Angelis Fernandez'!C12</f>
        <v>778030</v>
      </c>
      <c r="K32" s="286"/>
      <c r="L32" s="286"/>
      <c r="M32" s="286"/>
      <c r="N32" s="88"/>
      <c r="O32" s="100"/>
      <c r="P32" s="100"/>
      <c r="Q32" s="100"/>
      <c r="R32" s="100"/>
      <c r="S32" s="100"/>
    </row>
    <row r="33" spans="2:19" ht="14.25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2:19" ht="18.75">
      <c r="B34" s="90" t="s">
        <v>118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</row>
    <row r="35" spans="2:19" ht="6.75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</row>
    <row r="36" spans="2:19" ht="15.75" customHeight="1">
      <c r="B36" s="284" t="str">
        <f>'Liquidacion Angelis Fernandez'!C6</f>
        <v>PlanVital</v>
      </c>
      <c r="C36" s="284"/>
      <c r="D36" s="284"/>
      <c r="E36" s="284"/>
      <c r="F36" s="284"/>
      <c r="G36" s="284"/>
      <c r="H36" s="284"/>
      <c r="I36" s="88"/>
      <c r="J36" s="284"/>
      <c r="K36" s="284"/>
      <c r="L36" s="284"/>
      <c r="M36" s="284"/>
      <c r="N36" s="88"/>
      <c r="O36" s="286">
        <f>+'Liquidacion Angelis Fernandez'!E8</f>
        <v>152384</v>
      </c>
      <c r="P36" s="286"/>
      <c r="Q36" s="286"/>
      <c r="R36" s="286"/>
      <c r="S36" s="286"/>
    </row>
    <row r="37" spans="2:19" ht="6" customHeight="1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  <c r="P37" s="89"/>
      <c r="Q37" s="89"/>
      <c r="R37" s="89"/>
      <c r="S37" s="89"/>
    </row>
    <row r="38" spans="2:19" ht="15.75" customHeight="1">
      <c r="B38" s="284" t="str">
        <f>'Liquidacion Angelis Fernandez'!D4</f>
        <v>FONASA</v>
      </c>
      <c r="C38" s="284"/>
      <c r="D38" s="284"/>
      <c r="E38" s="284"/>
      <c r="F38" s="284"/>
      <c r="G38" s="284"/>
      <c r="H38" s="284"/>
      <c r="I38" s="88"/>
      <c r="J38" s="284"/>
      <c r="K38" s="284"/>
      <c r="L38" s="284"/>
      <c r="M38" s="284"/>
      <c r="N38" s="88"/>
      <c r="O38" s="286">
        <f>+'Liquidacion Angelis Fernandez'!E9</f>
        <v>95581</v>
      </c>
      <c r="P38" s="286"/>
      <c r="Q38" s="286"/>
      <c r="R38" s="286"/>
      <c r="S38" s="286"/>
    </row>
    <row r="39" spans="2:19" ht="5.0999999999999996" customHeight="1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9"/>
      <c r="P39" s="89"/>
      <c r="Q39" s="89"/>
      <c r="R39" s="89"/>
      <c r="S39" s="89"/>
    </row>
    <row r="40" spans="2:19" ht="15" customHeight="1">
      <c r="B40" s="284" t="str">
        <f>+'Liquidacion Angelis Fernandez'!D11</f>
        <v>Impuesto Unico</v>
      </c>
      <c r="C40" s="284"/>
      <c r="D40" s="284"/>
      <c r="E40" s="284"/>
      <c r="F40" s="284"/>
      <c r="G40" s="284"/>
      <c r="H40" s="284"/>
      <c r="I40" s="88"/>
      <c r="J40" s="284"/>
      <c r="K40" s="284"/>
      <c r="L40" s="284"/>
      <c r="M40" s="284"/>
      <c r="N40" s="88"/>
      <c r="O40" s="286">
        <f>+'Liquidacion Angelis Fernandez'!E11</f>
        <v>13291</v>
      </c>
      <c r="P40" s="286"/>
      <c r="Q40" s="286"/>
      <c r="R40" s="286"/>
      <c r="S40" s="286"/>
    </row>
    <row r="41" spans="2:19" ht="6" customHeight="1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2:19" ht="15.75" customHeight="1">
      <c r="B42" s="284" t="str">
        <f>+'Liquidacion Angelis Fernandez'!D12</f>
        <v>Seg. Cesantia (0,6 %)</v>
      </c>
      <c r="C42" s="284"/>
      <c r="D42" s="284"/>
      <c r="E42" s="284"/>
      <c r="F42" s="284"/>
      <c r="G42" s="284"/>
      <c r="H42" s="284"/>
      <c r="I42" s="88"/>
      <c r="J42" s="284"/>
      <c r="K42" s="284"/>
      <c r="L42" s="284"/>
      <c r="M42" s="284"/>
      <c r="N42" s="88"/>
      <c r="O42" s="286">
        <f>+'Liquidacion Angelis Fernandez'!E12</f>
        <v>8193</v>
      </c>
      <c r="P42" s="286"/>
      <c r="Q42" s="286"/>
      <c r="R42" s="286"/>
      <c r="S42" s="286"/>
    </row>
    <row r="43" spans="2:19" ht="9" customHeight="1"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</row>
    <row r="44" spans="2:19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</row>
    <row r="45" spans="2:19" ht="18" customHeight="1">
      <c r="B45" s="88"/>
      <c r="C45" s="88"/>
      <c r="D45" s="88"/>
      <c r="E45" s="88"/>
      <c r="F45" s="88"/>
      <c r="G45" s="88"/>
      <c r="H45" s="88"/>
      <c r="I45" s="88"/>
      <c r="J45" s="286">
        <f>+'Liquidacion Angelis Fernandez'!C27</f>
        <v>1407446.6666666665</v>
      </c>
      <c r="K45" s="286"/>
      <c r="L45" s="286"/>
      <c r="M45" s="286"/>
      <c r="N45" s="88"/>
      <c r="O45" s="88"/>
      <c r="P45" s="286">
        <f>+'Liquidacion Angelis Fernandez'!E19</f>
        <v>269449</v>
      </c>
      <c r="Q45" s="286"/>
      <c r="R45" s="286"/>
      <c r="S45" s="286"/>
    </row>
    <row r="46" spans="2:19" ht="3" customHeight="1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</row>
    <row r="47" spans="2:19" ht="6.75" customHeight="1">
      <c r="B47" s="284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88"/>
      <c r="O47" s="284"/>
      <c r="P47" s="284"/>
      <c r="Q47" s="284"/>
      <c r="R47" s="284"/>
      <c r="S47" s="284"/>
    </row>
    <row r="48" spans="2:19">
      <c r="B48" s="88"/>
      <c r="C48" s="88"/>
      <c r="D48" s="88"/>
      <c r="E48" s="88"/>
      <c r="F48" s="88"/>
      <c r="G48" s="88"/>
      <c r="H48" s="88"/>
      <c r="I48" s="88"/>
      <c r="J48" s="286">
        <f>+'Liquidacion Angelis Fernandez'!E29</f>
        <v>1137997.6666666665</v>
      </c>
      <c r="K48" s="286"/>
      <c r="L48" s="286"/>
      <c r="M48" s="286"/>
      <c r="N48" s="286"/>
      <c r="O48" s="286"/>
      <c r="P48" s="286"/>
      <c r="Q48" s="286"/>
      <c r="R48" s="286"/>
      <c r="S48" s="286"/>
    </row>
    <row r="49" spans="2:19" ht="16.5" customHeight="1"/>
    <row r="50" spans="2:19" ht="15.75" customHeight="1">
      <c r="O50" s="285"/>
      <c r="P50" s="285"/>
      <c r="R50" s="285"/>
      <c r="S50" s="285"/>
    </row>
    <row r="51" spans="2:19" ht="6.75" customHeight="1"/>
    <row r="52" spans="2:19" ht="16.5" customHeight="1">
      <c r="B52" s="285"/>
      <c r="C52" s="285"/>
      <c r="D52" s="285"/>
      <c r="E52" s="285"/>
      <c r="O52" s="285"/>
      <c r="P52" s="285"/>
      <c r="Q52" s="285"/>
      <c r="R52" s="285"/>
      <c r="S52" s="285"/>
    </row>
  </sheetData>
  <mergeCells count="44">
    <mergeCell ref="B52:E52"/>
    <mergeCell ref="O52:S52"/>
    <mergeCell ref="B32:H32"/>
    <mergeCell ref="J32:M32"/>
    <mergeCell ref="J45:M45"/>
    <mergeCell ref="P45:S45"/>
    <mergeCell ref="B47:M47"/>
    <mergeCell ref="O47:S47"/>
    <mergeCell ref="J48:S48"/>
    <mergeCell ref="O50:P50"/>
    <mergeCell ref="R50:S50"/>
    <mergeCell ref="B40:H40"/>
    <mergeCell ref="J40:M40"/>
    <mergeCell ref="O40:S40"/>
    <mergeCell ref="B42:H42"/>
    <mergeCell ref="J42:M42"/>
    <mergeCell ref="O42:S42"/>
    <mergeCell ref="B30:H30"/>
    <mergeCell ref="J30:M30"/>
    <mergeCell ref="B36:H36"/>
    <mergeCell ref="J36:M36"/>
    <mergeCell ref="O36:S36"/>
    <mergeCell ref="B38:H38"/>
    <mergeCell ref="J38:M38"/>
    <mergeCell ref="O38:S38"/>
    <mergeCell ref="B28:H28"/>
    <mergeCell ref="J28:M28"/>
    <mergeCell ref="B15:F15"/>
    <mergeCell ref="H15:M15"/>
    <mergeCell ref="O15:S15"/>
    <mergeCell ref="B22:H22"/>
    <mergeCell ref="J22:M22"/>
    <mergeCell ref="O22:S22"/>
    <mergeCell ref="B24:H24"/>
    <mergeCell ref="J24:M24"/>
    <mergeCell ref="O24:S24"/>
    <mergeCell ref="B26:H26"/>
    <mergeCell ref="J26:M26"/>
    <mergeCell ref="D11:H11"/>
    <mergeCell ref="R3:S3"/>
    <mergeCell ref="C8:H8"/>
    <mergeCell ref="B9:C9"/>
    <mergeCell ref="D9:J9"/>
    <mergeCell ref="F10:J10"/>
  </mergeCells>
  <pageMargins left="0.19685039370078741" right="0.19685039370078741" top="0.19685039370078741" bottom="0.19685039370078741" header="0" footer="0"/>
  <pageSetup paperSize="119" scale="95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849C-453E-4A7C-8502-2AAD61160ECA}">
  <dimension ref="B1:T55"/>
  <sheetViews>
    <sheetView topLeftCell="A14" workbookViewId="0">
      <selection activeCell="F39" sqref="F39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10.140625" bestFit="1" customWidth="1"/>
    <col min="7" max="7" width="11" bestFit="1" customWidth="1"/>
    <col min="8" max="8" width="9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tr">
        <f>+J10</f>
        <v>JULIO</v>
      </c>
      <c r="C1" s="2" t="str">
        <f>+CONCATENATE(B1," ",D1)</f>
        <v>JULIO 2022</v>
      </c>
      <c r="D1">
        <f>+'Impto Unico'!C1</f>
        <v>2022</v>
      </c>
    </row>
    <row r="3" spans="2:14">
      <c r="B3" s="4" t="s">
        <v>1</v>
      </c>
      <c r="C3" s="151">
        <v>29.8</v>
      </c>
      <c r="D3" t="s">
        <v>93</v>
      </c>
      <c r="E3" s="3">
        <f>G9</f>
        <v>376938.88888888888</v>
      </c>
      <c r="F3" t="s">
        <v>142</v>
      </c>
      <c r="G3" s="145">
        <v>380000</v>
      </c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D4" t="s">
        <v>96</v>
      </c>
      <c r="E4" s="73">
        <v>0</v>
      </c>
      <c r="F4" s="6" t="s">
        <v>143</v>
      </c>
      <c r="G4" s="145">
        <f>45*4</f>
        <v>180</v>
      </c>
      <c r="I4" s="4"/>
      <c r="J4" s="7">
        <v>81.599999999999994</v>
      </c>
      <c r="K4" s="7">
        <v>122.6</v>
      </c>
      <c r="L4" s="7">
        <f>+J4</f>
        <v>81.599999999999994</v>
      </c>
      <c r="M4" s="142"/>
      <c r="N4" s="4"/>
    </row>
    <row r="5" spans="2:14">
      <c r="B5" s="4" t="s">
        <v>9</v>
      </c>
      <c r="C5" s="10" t="s">
        <v>10</v>
      </c>
      <c r="E5" s="3">
        <f>+ROUND(E4*I6,0)</f>
        <v>0</v>
      </c>
      <c r="F5" t="s">
        <v>144</v>
      </c>
      <c r="G5" s="146">
        <f>G4*60</f>
        <v>10800</v>
      </c>
      <c r="I5" s="4"/>
      <c r="J5" s="4"/>
      <c r="K5" s="4"/>
      <c r="L5" s="11">
        <f>L4*7%</f>
        <v>5.7119999999999997</v>
      </c>
      <c r="M5" s="143">
        <f>(C8+C12+C11)*25%</f>
        <v>224560.22222222222</v>
      </c>
      <c r="N5" s="4"/>
    </row>
    <row r="6" spans="2:14">
      <c r="B6" s="4" t="s">
        <v>11</v>
      </c>
      <c r="C6" s="12" t="s">
        <v>136</v>
      </c>
      <c r="D6" s="82">
        <v>7.0000000000000007E-2</v>
      </c>
      <c r="E6" s="3">
        <f>+C19*D6</f>
        <v>73406.02888888889</v>
      </c>
      <c r="F6" t="s">
        <v>145</v>
      </c>
      <c r="G6" s="147">
        <f>G3/G5</f>
        <v>35.185185185185183</v>
      </c>
      <c r="I6" s="13">
        <f>+'Impto Unico'!L2</f>
        <v>33417.26</v>
      </c>
      <c r="J6" s="14">
        <f>+J4*$I$6</f>
        <v>2726848.4160000002</v>
      </c>
      <c r="K6" s="14">
        <f>K4*$I$6</f>
        <v>4096956.0759999999</v>
      </c>
      <c r="L6" s="15">
        <f>L5*I6</f>
        <v>190879.38912000001</v>
      </c>
      <c r="M6" s="14">
        <f>(380000*4.75)*(1/12)</f>
        <v>150416.66666666666</v>
      </c>
      <c r="N6" s="16">
        <f>C19-E8-IF((E9+E10)&lt;L6,(E9+E10),L6)-E12-E15-E16</f>
        <v>851929.5555555555</v>
      </c>
    </row>
    <row r="7" spans="2:14" ht="15.75" thickBot="1">
      <c r="C7" s="17"/>
      <c r="D7" s="18"/>
      <c r="F7" t="s">
        <v>146</v>
      </c>
      <c r="G7" s="146">
        <f>60+27</f>
        <v>87</v>
      </c>
      <c r="I7" s="19"/>
      <c r="J7" s="20"/>
      <c r="K7" s="20"/>
      <c r="L7" s="21"/>
      <c r="M7" s="20"/>
      <c r="N7" s="17"/>
    </row>
    <row r="8" spans="2:14">
      <c r="B8" s="22" t="s">
        <v>13</v>
      </c>
      <c r="C8" s="131">
        <f>E3</f>
        <v>376938.88888888888</v>
      </c>
      <c r="D8" s="152" t="str">
        <f>C6</f>
        <v>PlanVital</v>
      </c>
      <c r="E8" s="23">
        <f>ROUND(IF(C19&lt;J6,C19*J24,J6*J24),0)</f>
        <v>117030</v>
      </c>
      <c r="G8" s="146">
        <f>G5-G7</f>
        <v>10713</v>
      </c>
      <c r="I8" s="149"/>
      <c r="J8" s="141"/>
    </row>
    <row r="9" spans="2:14">
      <c r="B9" s="24" t="s">
        <v>14</v>
      </c>
      <c r="C9" s="17">
        <f>IF(M5&lt;M6,M5,M6)</f>
        <v>150416.66666666666</v>
      </c>
      <c r="D9" s="24" t="str">
        <f>D4</f>
        <v>FONASA</v>
      </c>
      <c r="E9" s="25">
        <f>+ROUND(IF(L6&lt;=E6,L6,E6),0)</f>
        <v>73406</v>
      </c>
      <c r="G9" s="148">
        <f>G8*G6</f>
        <v>376938.88888888888</v>
      </c>
      <c r="H9" s="74"/>
    </row>
    <row r="10" spans="2:14">
      <c r="B10" s="24"/>
      <c r="C10" s="31"/>
      <c r="D10" s="24" t="s">
        <v>16</v>
      </c>
      <c r="E10" s="26">
        <v>0</v>
      </c>
      <c r="G10">
        <f>G8/60</f>
        <v>178.55</v>
      </c>
      <c r="H10" s="150">
        <f>G10*H11/G11</f>
        <v>29.758333333333333</v>
      </c>
      <c r="J10" s="1" t="str">
        <f>+'Impto Unico'!B1</f>
        <v>JULIO</v>
      </c>
      <c r="K10" t="s">
        <v>18</v>
      </c>
    </row>
    <row r="11" spans="2:14">
      <c r="B11" s="24" t="s">
        <v>137</v>
      </c>
      <c r="C11" s="31">
        <v>57000</v>
      </c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2996</v>
      </c>
      <c r="G11">
        <v>180</v>
      </c>
      <c r="H11">
        <v>30</v>
      </c>
      <c r="I11" s="27" t="s">
        <v>20</v>
      </c>
      <c r="J11" s="28">
        <f>+'Impto Unico'!C2</f>
        <v>777019.5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>
      <c r="B12" s="24" t="s">
        <v>147</v>
      </c>
      <c r="C12" s="31">
        <v>464302</v>
      </c>
      <c r="D12" s="24" t="s">
        <v>98</v>
      </c>
      <c r="E12" s="25">
        <f>ROUND(IF(C5="INDEFINIDO",(IF(C19&gt;$K$6,($K$6*$M$22),($C$19*M22))),0),0)</f>
        <v>6292</v>
      </c>
      <c r="H12" s="56"/>
      <c r="I12" s="27"/>
      <c r="J12" s="28">
        <f>+'Impto Unico'!C3</f>
        <v>777019.51</v>
      </c>
      <c r="K12" s="28">
        <f>+'Impto Unico'!D3</f>
        <v>1726710</v>
      </c>
      <c r="L12" s="28">
        <f>+'Impto Unico'!E3</f>
        <v>0.04</v>
      </c>
      <c r="M12" s="28">
        <f>+'Impto Unico'!F3</f>
        <v>31080.78</v>
      </c>
      <c r="N12" s="28">
        <f>+'Impto Unico'!G3</f>
        <v>2.1999999999999999E-2</v>
      </c>
    </row>
    <row r="13" spans="2:14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f>+'Impto Unico'!C4</f>
        <v>1726710.01</v>
      </c>
      <c r="K13" s="28">
        <f>+'Impto Unico'!D4</f>
        <v>2877850</v>
      </c>
      <c r="L13" s="28">
        <f>+'Impto Unico'!E4</f>
        <v>0.08</v>
      </c>
      <c r="M13" s="28">
        <f>+'Impto Unico'!F4</f>
        <v>100149.18</v>
      </c>
      <c r="N13" s="28">
        <f>+'Impto Unico'!G4</f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f>+'Impto Unico'!C5</f>
        <v>2877850.01</v>
      </c>
      <c r="K14" s="28">
        <f>+'Impto Unico'!D5</f>
        <v>4028990</v>
      </c>
      <c r="L14" s="28">
        <f>+'Impto Unico'!E5</f>
        <v>0.13500000000000001</v>
      </c>
      <c r="M14" s="28">
        <f>+'Impto Unico'!F5</f>
        <v>258430.93</v>
      </c>
      <c r="N14" s="28">
        <f>+'Impto Unico'!G5</f>
        <v>7.0900000000000005E-2</v>
      </c>
    </row>
    <row r="15" spans="2:14">
      <c r="B15" s="24"/>
      <c r="C15" s="25"/>
      <c r="D15" s="24" t="s">
        <v>28</v>
      </c>
      <c r="E15" s="31"/>
      <c r="I15" s="27"/>
      <c r="J15" s="28">
        <f>+'Impto Unico'!C6</f>
        <v>4028990.01</v>
      </c>
      <c r="K15" s="28">
        <f>+'Impto Unico'!D6</f>
        <v>5180130</v>
      </c>
      <c r="L15" s="28">
        <f>+'Impto Unico'!E6</f>
        <v>0.23</v>
      </c>
      <c r="M15" s="28">
        <f>+'Impto Unico'!F6</f>
        <v>641184.98</v>
      </c>
      <c r="N15" s="28">
        <f>+'Impto Unico'!G6</f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f>+'Impto Unico'!C7</f>
        <v>5180130.01</v>
      </c>
      <c r="K16" s="28">
        <f>+'Impto Unico'!D7</f>
        <v>6906840</v>
      </c>
      <c r="L16" s="28">
        <f>+'Impto Unico'!E7</f>
        <v>0.30399999999999999</v>
      </c>
      <c r="M16" s="28">
        <f>+'Impto Unico'!F7</f>
        <v>1024514.6</v>
      </c>
      <c r="N16" s="28">
        <f>+'Impto Unico'!G7</f>
        <v>0.15570000000000001</v>
      </c>
    </row>
    <row r="17" spans="2:20">
      <c r="B17" s="24"/>
      <c r="C17" s="25"/>
      <c r="D17" s="24"/>
      <c r="E17" s="25"/>
      <c r="I17" s="27"/>
      <c r="J17" s="28">
        <f>+'Impto Unico'!C8</f>
        <v>6906840.0099999998</v>
      </c>
      <c r="K17" s="28">
        <f>+'Impto Unico'!D8</f>
        <v>8633550</v>
      </c>
      <c r="L17" s="28">
        <f>+'Impto Unico'!E8</f>
        <v>0.35</v>
      </c>
      <c r="M17" s="28">
        <f>+'Impto Unico'!F8</f>
        <v>1342229.24</v>
      </c>
      <c r="N17" s="28">
        <f>+'Impto Unico'!G8</f>
        <v>0.19450000000000001</v>
      </c>
    </row>
    <row r="18" spans="2:20">
      <c r="B18" s="24"/>
      <c r="C18" s="25"/>
      <c r="D18" s="24"/>
      <c r="E18" s="25"/>
      <c r="I18" s="27"/>
      <c r="J18" s="28">
        <f>+'Impto Unico'!C9</f>
        <v>8633550.0099999998</v>
      </c>
      <c r="K18" s="28" t="str">
        <f>+'Impto Unico'!D9</f>
        <v>Y MÁS</v>
      </c>
      <c r="L18" s="28">
        <f>+'Impto Unico'!E9</f>
        <v>0.4</v>
      </c>
      <c r="M18" s="28">
        <f>+'Impto Unico'!F9</f>
        <v>1773906.74</v>
      </c>
      <c r="N18" s="28" t="str">
        <f>+'Impto Unico'!G9</f>
        <v>MÁS DE 19,45%</v>
      </c>
    </row>
    <row r="19" spans="2:20">
      <c r="B19" s="35" t="s">
        <v>33</v>
      </c>
      <c r="C19" s="36">
        <f>C8+C9+C12-C13+C10+C11</f>
        <v>1048657.5555555555</v>
      </c>
      <c r="D19" s="35" t="s">
        <v>34</v>
      </c>
      <c r="E19" s="37">
        <f>SUM(E8:E17)</f>
        <v>199724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99</v>
      </c>
      <c r="C24" s="25">
        <v>58500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>
      <c r="B25" s="24" t="s">
        <v>100</v>
      </c>
      <c r="C25" s="25">
        <v>58500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1165657.5555555555</v>
      </c>
      <c r="D27" s="48" t="s">
        <v>46</v>
      </c>
      <c r="E27" s="49">
        <f>C19-E19+C24+C25</f>
        <v>965933.5555555555</v>
      </c>
      <c r="H27" s="74"/>
      <c r="I27" s="4" t="s">
        <v>101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I28" s="4" t="s">
        <v>95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</f>
        <v>965933.5555555555</v>
      </c>
      <c r="I29" s="56"/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2.4E-2</v>
      </c>
      <c r="D32" s="16">
        <f>IF(C19&gt;$K$6,($K$6*$C$32),($C$19*C32))</f>
        <v>25167.781333333332</v>
      </c>
      <c r="G32" s="6"/>
    </row>
    <row r="33" spans="2:10">
      <c r="B33" s="4" t="s">
        <v>123</v>
      </c>
      <c r="C33" s="39">
        <v>9.2999999999999992E-3</v>
      </c>
      <c r="D33" s="16">
        <f>IF(C19&lt;$J$6,C19*$C$33,$J$6*$C$33)</f>
        <v>9752.5152666666654</v>
      </c>
      <c r="E33" s="57"/>
      <c r="G33" s="6"/>
    </row>
    <row r="34" spans="2:10">
      <c r="B34" s="4" t="s">
        <v>51</v>
      </c>
      <c r="C34" s="39">
        <v>1.8599999999999998E-2</v>
      </c>
      <c r="D34" s="58">
        <f>IF(C19&lt;$J$6,C19*$C$34,$J$6*$C$34)</f>
        <v>19505.030533333331</v>
      </c>
      <c r="E34" s="57"/>
      <c r="G34" s="6"/>
    </row>
    <row r="35" spans="2:10">
      <c r="B35" s="7" t="s">
        <v>52</v>
      </c>
      <c r="C35" s="7"/>
      <c r="D35" s="59">
        <f>C27+D32+D33+D34</f>
        <v>1220082.8826888888</v>
      </c>
      <c r="E35" s="60"/>
      <c r="G35" s="6"/>
      <c r="I35">
        <f>128/4</f>
        <v>32</v>
      </c>
    </row>
    <row r="36" spans="2:10">
      <c r="B36" s="61"/>
      <c r="C36" s="62"/>
      <c r="E36" s="17"/>
      <c r="G36" s="6"/>
    </row>
    <row r="37" spans="2:10">
      <c r="B37" s="61" t="s">
        <v>102</v>
      </c>
      <c r="C37" s="61" t="s">
        <v>148</v>
      </c>
      <c r="E37" s="17"/>
      <c r="G37" s="6"/>
    </row>
    <row r="38" spans="2:10">
      <c r="B38" t="s">
        <v>104</v>
      </c>
      <c r="C38" s="62" t="s">
        <v>149</v>
      </c>
      <c r="E38" s="17"/>
    </row>
    <row r="39" spans="2:10">
      <c r="B39" s="63" t="s">
        <v>106</v>
      </c>
      <c r="C39" s="62" t="s">
        <v>150</v>
      </c>
      <c r="E39" s="17"/>
    </row>
    <row r="40" spans="2:10">
      <c r="B40" t="s">
        <v>108</v>
      </c>
      <c r="C40" s="144">
        <v>42795</v>
      </c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G44" s="102"/>
      <c r="H44" s="6"/>
      <c r="I44" s="17"/>
    </row>
    <row r="45" spans="2:10">
      <c r="B45" s="61"/>
      <c r="C45" s="69"/>
      <c r="D45" s="125"/>
      <c r="E45" s="17"/>
      <c r="G45" s="102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43D0-D2FB-4E25-9C66-4FE42561AAD4}">
  <sheetPr>
    <pageSetUpPr fitToPage="1"/>
  </sheetPr>
  <dimension ref="B3:S52"/>
  <sheetViews>
    <sheetView showGridLines="0" topLeftCell="A31" zoomScale="120" zoomScaleNormal="120" zoomScaleSheetLayoutView="90" workbookViewId="0">
      <selection activeCell="W51" sqref="W51"/>
    </sheetView>
  </sheetViews>
  <sheetFormatPr baseColWidth="10" defaultColWidth="11.42578125" defaultRowHeight="15"/>
  <cols>
    <col min="1" max="1" width="7.42578125" customWidth="1"/>
    <col min="2" max="2" width="7.140625" customWidth="1"/>
    <col min="3" max="3" width="2.7109375" customWidth="1"/>
    <col min="4" max="4" width="5.140625" customWidth="1"/>
    <col min="5" max="5" width="4.42578125" customWidth="1"/>
    <col min="6" max="6" width="8.7109375" customWidth="1"/>
    <col min="7" max="7" width="1.28515625" customWidth="1"/>
    <col min="8" max="8" width="7" customWidth="1"/>
    <col min="9" max="9" width="1.42578125" customWidth="1"/>
    <col min="10" max="10" width="4.140625" customWidth="1"/>
    <col min="11" max="11" width="1.7109375" customWidth="1"/>
    <col min="12" max="12" width="9.28515625" customWidth="1"/>
    <col min="13" max="13" width="4.7109375" customWidth="1"/>
    <col min="14" max="14" width="1.28515625" customWidth="1"/>
    <col min="15" max="15" width="1.42578125" customWidth="1"/>
    <col min="16" max="16" width="11.42578125" customWidth="1"/>
    <col min="17" max="17" width="0.7109375" customWidth="1"/>
    <col min="18" max="18" width="7.7109375" customWidth="1"/>
    <col min="19" max="19" width="6.28515625" customWidth="1"/>
    <col min="20" max="20" width="7" customWidth="1"/>
  </cols>
  <sheetData>
    <row r="3" spans="2:19" ht="18.75">
      <c r="J3" s="83"/>
      <c r="K3" s="83"/>
      <c r="L3" s="83"/>
      <c r="M3" s="83"/>
      <c r="R3" s="279" t="str">
        <f>+'Liquidacion Rolando Carrasco'!C1</f>
        <v>JULIO 2022</v>
      </c>
      <c r="S3" s="280"/>
    </row>
    <row r="6" spans="2:19" ht="18.75">
      <c r="B6" s="83" t="s">
        <v>110</v>
      </c>
      <c r="C6" s="83"/>
      <c r="D6" s="83"/>
      <c r="E6" s="83"/>
      <c r="F6" s="83"/>
      <c r="G6" s="83"/>
      <c r="H6" s="83"/>
      <c r="I6" s="83"/>
      <c r="J6" s="83"/>
      <c r="L6" s="83" t="s">
        <v>111</v>
      </c>
      <c r="M6" s="83"/>
    </row>
    <row r="8" spans="2:19" ht="18">
      <c r="B8" s="84"/>
      <c r="C8" s="277" t="str">
        <f>'Liquidacion Carlos Figueroa'!C38</f>
        <v>25671433-7</v>
      </c>
      <c r="D8" s="278"/>
      <c r="E8" s="278"/>
      <c r="F8" s="278"/>
      <c r="G8" s="278"/>
      <c r="H8" s="278"/>
      <c r="I8" s="85"/>
      <c r="L8" s="86"/>
      <c r="M8" s="86"/>
      <c r="P8" s="91" t="s">
        <v>112</v>
      </c>
      <c r="S8" s="87"/>
    </row>
    <row r="9" spans="2:19" ht="16.5" customHeight="1">
      <c r="B9" s="281"/>
      <c r="C9" s="281"/>
      <c r="D9" s="282" t="str">
        <f>'Liquidacion Carlos Figueroa'!C37</f>
        <v>Carlos Figueroa</v>
      </c>
      <c r="E9" s="282"/>
      <c r="F9" s="282"/>
      <c r="G9" s="282"/>
      <c r="H9" s="282"/>
      <c r="I9" s="282"/>
      <c r="J9" s="282"/>
      <c r="L9" s="86"/>
      <c r="M9" s="91" t="s">
        <v>113</v>
      </c>
      <c r="O9" s="86"/>
      <c r="P9" s="86"/>
    </row>
    <row r="10" spans="2:19" ht="17.25" customHeight="1">
      <c r="B10" s="84"/>
      <c r="C10" s="84"/>
      <c r="D10" s="84"/>
      <c r="E10" s="84"/>
      <c r="F10" s="287">
        <f>'Liquidacion Carlos Figueroa'!C40</f>
        <v>42795</v>
      </c>
      <c r="G10" s="287"/>
      <c r="H10" s="287"/>
      <c r="I10" s="287"/>
      <c r="J10" s="287"/>
      <c r="L10" s="86"/>
      <c r="M10" s="86"/>
      <c r="N10" s="91" t="s">
        <v>114</v>
      </c>
      <c r="O10" s="86"/>
      <c r="P10" s="92"/>
    </row>
    <row r="11" spans="2:19" ht="16.5" customHeight="1">
      <c r="B11" s="84"/>
      <c r="C11" s="84"/>
      <c r="D11" s="277" t="str">
        <f>'Liquidacion Carlos Figueroa'!C39</f>
        <v>Producción</v>
      </c>
      <c r="E11" s="278"/>
      <c r="F11" s="278"/>
      <c r="G11" s="278"/>
      <c r="H11" s="278"/>
      <c r="L11" s="86"/>
      <c r="M11" s="91" t="s">
        <v>115</v>
      </c>
      <c r="O11" s="86"/>
      <c r="P11" s="86"/>
      <c r="Q11" s="86"/>
    </row>
    <row r="12" spans="2:19" ht="27" customHeight="1"/>
    <row r="13" spans="2:19" ht="19.5" customHeight="1"/>
    <row r="14" spans="2:19" ht="4.5" customHeight="1"/>
    <row r="15" spans="2:19" ht="18.75" customHeight="1">
      <c r="B15" s="284">
        <f>'Liquidacion Carlos Figueroa'!C3</f>
        <v>29.8</v>
      </c>
      <c r="C15" s="284"/>
      <c r="D15" s="284"/>
      <c r="E15" s="284"/>
      <c r="F15" s="284"/>
      <c r="G15" s="52"/>
      <c r="H15" s="285"/>
      <c r="I15" s="285"/>
      <c r="J15" s="285"/>
      <c r="K15" s="285"/>
      <c r="L15" s="285"/>
      <c r="M15" s="285"/>
      <c r="O15" s="285"/>
      <c r="P15" s="285"/>
      <c r="Q15" s="285"/>
      <c r="R15" s="285"/>
      <c r="S15" s="285"/>
    </row>
    <row r="16" spans="2:19" ht="19.5" customHeight="1"/>
    <row r="18" spans="2:19" ht="16.5" customHeight="1"/>
    <row r="19" spans="2:19" ht="18.75" customHeight="1">
      <c r="Q19" t="s">
        <v>116</v>
      </c>
    </row>
    <row r="20" spans="2:19" ht="14.25" customHeight="1">
      <c r="B20" s="83" t="s">
        <v>117</v>
      </c>
    </row>
    <row r="21" spans="2:19" ht="8.25" customHeight="1"/>
    <row r="22" spans="2:19" ht="15.75" customHeight="1">
      <c r="B22" s="284" t="str">
        <f>'Liquidacion Carlos Figueroa'!B8</f>
        <v>Sueldo base</v>
      </c>
      <c r="C22" s="284"/>
      <c r="D22" s="284"/>
      <c r="E22" s="284"/>
      <c r="F22" s="284"/>
      <c r="G22" s="284"/>
      <c r="H22" s="284"/>
      <c r="I22" s="88"/>
      <c r="J22" s="286">
        <f>'Liquidacion Carlos Figueroa'!C8</f>
        <v>376938.88888888888</v>
      </c>
      <c r="K22" s="286"/>
      <c r="L22" s="286"/>
      <c r="M22" s="286"/>
      <c r="N22" s="88"/>
      <c r="O22" s="284"/>
      <c r="P22" s="284"/>
      <c r="Q22" s="284"/>
      <c r="R22" s="284"/>
      <c r="S22" s="284"/>
    </row>
    <row r="23" spans="2:19" ht="4.5" customHeight="1">
      <c r="B23" s="88"/>
      <c r="C23" s="88"/>
      <c r="D23" s="88"/>
      <c r="E23" s="88"/>
      <c r="F23" s="88"/>
      <c r="G23" s="88"/>
      <c r="H23" s="88"/>
      <c r="I23" s="88"/>
      <c r="J23" s="89"/>
      <c r="K23" s="89"/>
      <c r="L23" s="89"/>
      <c r="M23" s="89"/>
      <c r="N23" s="88"/>
      <c r="O23" s="88"/>
      <c r="P23" s="88"/>
      <c r="Q23" s="88"/>
      <c r="R23" s="88"/>
      <c r="S23" s="88"/>
    </row>
    <row r="24" spans="2:19" ht="15.75" customHeight="1">
      <c r="B24" s="284" t="str">
        <f>'Liquidacion Carlos Figueroa'!B9</f>
        <v>Gratificación</v>
      </c>
      <c r="C24" s="284"/>
      <c r="D24" s="284"/>
      <c r="E24" s="284"/>
      <c r="F24" s="284"/>
      <c r="G24" s="284"/>
      <c r="H24" s="284"/>
      <c r="I24" s="88"/>
      <c r="J24" s="286">
        <f>'Liquidacion Carlos Figueroa'!C9</f>
        <v>150416.66666666666</v>
      </c>
      <c r="K24" s="286"/>
      <c r="L24" s="286"/>
      <c r="M24" s="286"/>
      <c r="N24" s="88"/>
      <c r="O24" s="284"/>
      <c r="P24" s="284"/>
      <c r="Q24" s="284"/>
      <c r="R24" s="284"/>
      <c r="S24" s="284"/>
    </row>
    <row r="25" spans="2:19" ht="4.5" customHeight="1">
      <c r="B25" s="100"/>
      <c r="C25" s="100"/>
      <c r="D25" s="100"/>
      <c r="E25" s="100"/>
      <c r="F25" s="100"/>
      <c r="G25" s="100"/>
      <c r="H25" s="100"/>
      <c r="I25" s="88"/>
      <c r="J25" s="99"/>
      <c r="K25" s="99"/>
      <c r="L25" s="99"/>
      <c r="M25" s="99"/>
      <c r="N25" s="88"/>
      <c r="O25" s="100"/>
      <c r="P25" s="100"/>
      <c r="Q25" s="100"/>
      <c r="R25" s="100"/>
      <c r="S25" s="100"/>
    </row>
    <row r="26" spans="2:19" ht="15.75" customHeight="1">
      <c r="B26" s="284" t="str">
        <f>'Liquidacion Carlos Figueroa'!B24</f>
        <v>Colación</v>
      </c>
      <c r="C26" s="284"/>
      <c r="D26" s="284"/>
      <c r="E26" s="284"/>
      <c r="F26" s="284"/>
      <c r="G26" s="284"/>
      <c r="H26" s="284"/>
      <c r="I26" s="88"/>
      <c r="J26" s="286">
        <f>'Liquidacion Carlos Figueroa'!C24</f>
        <v>58500</v>
      </c>
      <c r="K26" s="286"/>
      <c r="L26" s="286"/>
      <c r="M26" s="286"/>
      <c r="N26" s="88"/>
      <c r="O26" s="100"/>
      <c r="P26" s="100"/>
      <c r="Q26" s="100"/>
      <c r="R26" s="100"/>
      <c r="S26" s="100"/>
    </row>
    <row r="27" spans="2:19" ht="6" customHeight="1">
      <c r="B27" s="100"/>
      <c r="C27" s="100"/>
      <c r="D27" s="100"/>
      <c r="E27" s="100"/>
      <c r="F27" s="100"/>
      <c r="G27" s="100"/>
      <c r="H27" s="100"/>
      <c r="I27" s="88"/>
      <c r="J27" s="99"/>
      <c r="K27" s="99"/>
      <c r="L27" s="99"/>
      <c r="M27" s="99"/>
      <c r="N27" s="88"/>
      <c r="O27" s="100"/>
      <c r="P27" s="100"/>
      <c r="Q27" s="100"/>
      <c r="R27" s="100"/>
      <c r="S27" s="100"/>
    </row>
    <row r="28" spans="2:19" ht="15.6" customHeight="1">
      <c r="B28" s="284" t="str">
        <f>'Liquidacion Carlos Figueroa'!B25</f>
        <v>Movilización</v>
      </c>
      <c r="C28" s="284"/>
      <c r="D28" s="284"/>
      <c r="E28" s="284"/>
      <c r="F28" s="284"/>
      <c r="G28" s="284"/>
      <c r="H28" s="284"/>
      <c r="I28" s="88"/>
      <c r="J28" s="286">
        <f>'Liquidacion Carlos Figueroa'!C25</f>
        <v>58500</v>
      </c>
      <c r="K28" s="286"/>
      <c r="L28" s="286"/>
      <c r="M28" s="286"/>
      <c r="N28" s="88"/>
      <c r="O28" s="100"/>
      <c r="P28" s="100"/>
      <c r="Q28" s="100"/>
      <c r="R28" s="100"/>
      <c r="S28" s="100"/>
    </row>
    <row r="29" spans="2:19" ht="4.3499999999999996" customHeight="1">
      <c r="B29" s="100"/>
      <c r="C29" s="100"/>
      <c r="D29" s="100"/>
      <c r="E29" s="100"/>
      <c r="F29" s="100"/>
      <c r="G29" s="100"/>
      <c r="H29" s="100"/>
      <c r="I29" s="88"/>
      <c r="J29" s="99"/>
      <c r="K29" s="99"/>
      <c r="L29" s="99"/>
      <c r="M29" s="99"/>
      <c r="N29" s="88"/>
      <c r="O29" s="100"/>
      <c r="P29" s="100"/>
      <c r="Q29" s="100"/>
      <c r="R29" s="100"/>
      <c r="S29" s="100"/>
    </row>
    <row r="30" spans="2:19" ht="15.6" customHeight="1">
      <c r="B30" s="284" t="str">
        <f>'Liquidacion Carlos Figueroa'!B11</f>
        <v>Bono Responsabilidad</v>
      </c>
      <c r="C30" s="284"/>
      <c r="D30" s="284"/>
      <c r="E30" s="284"/>
      <c r="F30" s="284"/>
      <c r="G30" s="284"/>
      <c r="H30" s="284"/>
      <c r="I30" s="88"/>
      <c r="J30" s="286">
        <f>'Liquidacion Carlos Figueroa'!C11</f>
        <v>57000</v>
      </c>
      <c r="K30" s="286"/>
      <c r="L30" s="286"/>
      <c r="M30" s="286"/>
      <c r="N30" s="88"/>
      <c r="O30" s="100"/>
      <c r="P30" s="100"/>
      <c r="Q30" s="100"/>
      <c r="R30" s="100"/>
      <c r="S30" s="100"/>
    </row>
    <row r="31" spans="2:19" ht="8.4499999999999993" customHeight="1">
      <c r="B31" s="100"/>
      <c r="C31" s="100"/>
      <c r="D31" s="100"/>
      <c r="E31" s="100"/>
      <c r="F31" s="100"/>
      <c r="G31" s="100"/>
      <c r="H31" s="100"/>
      <c r="I31" s="88"/>
      <c r="J31" s="99"/>
      <c r="K31" s="99"/>
      <c r="L31" s="99"/>
      <c r="M31" s="99"/>
      <c r="N31" s="88"/>
      <c r="O31" s="100"/>
      <c r="P31" s="100"/>
      <c r="Q31" s="100"/>
      <c r="R31" s="100"/>
      <c r="S31" s="100"/>
    </row>
    <row r="32" spans="2:19" ht="15.6" customHeight="1">
      <c r="B32" s="284" t="str">
        <f>'Liquidacion Carlos Figueroa'!B12</f>
        <v xml:space="preserve">Bono Produccion </v>
      </c>
      <c r="C32" s="284"/>
      <c r="D32" s="284"/>
      <c r="E32" s="284"/>
      <c r="F32" s="284"/>
      <c r="G32" s="284"/>
      <c r="H32" s="284"/>
      <c r="I32" s="88"/>
      <c r="J32" s="286">
        <f>'Liquidacion Carlos Figueroa'!C12</f>
        <v>464302</v>
      </c>
      <c r="K32" s="286"/>
      <c r="L32" s="286"/>
      <c r="M32" s="286"/>
      <c r="N32" s="88"/>
      <c r="O32" s="100"/>
      <c r="P32" s="100"/>
      <c r="Q32" s="100"/>
      <c r="R32" s="100"/>
      <c r="S32" s="100"/>
    </row>
    <row r="33" spans="2:19" ht="14.25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2:19" ht="18.75">
      <c r="B34" s="90" t="s">
        <v>118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</row>
    <row r="35" spans="2:19" ht="6.75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</row>
    <row r="36" spans="2:19" ht="15.75" customHeight="1">
      <c r="B36" s="284" t="str">
        <f>'Liquidacion Carlos Figueroa'!C6</f>
        <v>PlanVital</v>
      </c>
      <c r="C36" s="284"/>
      <c r="D36" s="284"/>
      <c r="E36" s="284"/>
      <c r="F36" s="284"/>
      <c r="G36" s="284"/>
      <c r="H36" s="284"/>
      <c r="I36" s="88"/>
      <c r="J36" s="284"/>
      <c r="K36" s="284"/>
      <c r="L36" s="284"/>
      <c r="M36" s="284"/>
      <c r="N36" s="88"/>
      <c r="O36" s="286">
        <f>+'Liquidacion Carlos Figueroa'!E8</f>
        <v>117030</v>
      </c>
      <c r="P36" s="286"/>
      <c r="Q36" s="286"/>
      <c r="R36" s="286"/>
      <c r="S36" s="286"/>
    </row>
    <row r="37" spans="2:19" ht="6" customHeight="1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  <c r="P37" s="89"/>
      <c r="Q37" s="89"/>
      <c r="R37" s="89"/>
      <c r="S37" s="89"/>
    </row>
    <row r="38" spans="2:19" ht="15.75" customHeight="1">
      <c r="B38" s="284" t="str">
        <f>'Liquidacion Carlos Figueroa'!D4</f>
        <v>FONASA</v>
      </c>
      <c r="C38" s="284"/>
      <c r="D38" s="284"/>
      <c r="E38" s="284"/>
      <c r="F38" s="284"/>
      <c r="G38" s="284"/>
      <c r="H38" s="284"/>
      <c r="I38" s="88"/>
      <c r="J38" s="284"/>
      <c r="K38" s="284"/>
      <c r="L38" s="284"/>
      <c r="M38" s="284"/>
      <c r="N38" s="88"/>
      <c r="O38" s="286">
        <f>+'Liquidacion Carlos Figueroa'!E9</f>
        <v>73406</v>
      </c>
      <c r="P38" s="286"/>
      <c r="Q38" s="286"/>
      <c r="R38" s="286"/>
      <c r="S38" s="286"/>
    </row>
    <row r="39" spans="2:19" ht="5.0999999999999996" customHeight="1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9"/>
      <c r="P39" s="89"/>
      <c r="Q39" s="89"/>
      <c r="R39" s="89"/>
      <c r="S39" s="89"/>
    </row>
    <row r="40" spans="2:19" ht="15" customHeight="1">
      <c r="B40" s="284" t="str">
        <f>'Liquidacion Carlos Figueroa'!D11</f>
        <v>Impuesto Unico</v>
      </c>
      <c r="C40" s="284"/>
      <c r="D40" s="284"/>
      <c r="E40" s="284"/>
      <c r="F40" s="284"/>
      <c r="G40" s="284"/>
      <c r="H40" s="284"/>
      <c r="I40" s="88"/>
      <c r="J40" s="284"/>
      <c r="K40" s="284"/>
      <c r="L40" s="284"/>
      <c r="M40" s="284"/>
      <c r="N40" s="88"/>
      <c r="O40" s="286">
        <f>+'Liquidacion Carlos Figueroa'!E11</f>
        <v>2996</v>
      </c>
      <c r="P40" s="286"/>
      <c r="Q40" s="286"/>
      <c r="R40" s="286"/>
      <c r="S40" s="286"/>
    </row>
    <row r="41" spans="2:19" ht="6" customHeight="1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2:19" ht="15.75" customHeight="1">
      <c r="B42" s="284" t="str">
        <f>'Liquidacion Carlos Figueroa'!D12</f>
        <v>Seg. Cesantia (0,6 %)</v>
      </c>
      <c r="C42" s="284"/>
      <c r="D42" s="284"/>
      <c r="E42" s="284"/>
      <c r="F42" s="284"/>
      <c r="G42" s="284"/>
      <c r="H42" s="284"/>
      <c r="I42" s="88"/>
      <c r="J42" s="284"/>
      <c r="K42" s="284"/>
      <c r="L42" s="284"/>
      <c r="M42" s="284"/>
      <c r="N42" s="88"/>
      <c r="O42" s="286">
        <f>+'Liquidacion Carlos Figueroa'!E12</f>
        <v>6292</v>
      </c>
      <c r="P42" s="286"/>
      <c r="Q42" s="286"/>
      <c r="R42" s="286"/>
      <c r="S42" s="286"/>
    </row>
    <row r="43" spans="2:19" ht="9" customHeight="1"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</row>
    <row r="44" spans="2:19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</row>
    <row r="45" spans="2:19" ht="18" customHeight="1">
      <c r="B45" s="88"/>
      <c r="C45" s="88"/>
      <c r="D45" s="88"/>
      <c r="E45" s="88"/>
      <c r="F45" s="88"/>
      <c r="G45" s="88"/>
      <c r="H45" s="88"/>
      <c r="I45" s="88"/>
      <c r="J45" s="286">
        <f>'Liquidacion Carlos Figueroa'!C27</f>
        <v>1165657.5555555555</v>
      </c>
      <c r="K45" s="286"/>
      <c r="L45" s="286"/>
      <c r="M45" s="286"/>
      <c r="N45" s="88"/>
      <c r="O45" s="88"/>
      <c r="P45" s="286">
        <f>'Liquidacion Carlos Figueroa'!E19</f>
        <v>199724</v>
      </c>
      <c r="Q45" s="286"/>
      <c r="R45" s="286"/>
      <c r="S45" s="286"/>
    </row>
    <row r="46" spans="2:19" ht="3" customHeight="1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</row>
    <row r="47" spans="2:19" ht="6.75" customHeight="1">
      <c r="B47" s="284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88"/>
      <c r="O47" s="284"/>
      <c r="P47" s="284"/>
      <c r="Q47" s="284"/>
      <c r="R47" s="284"/>
      <c r="S47" s="284"/>
    </row>
    <row r="48" spans="2:19">
      <c r="B48" s="88"/>
      <c r="C48" s="88"/>
      <c r="D48" s="88"/>
      <c r="E48" s="88"/>
      <c r="F48" s="88"/>
      <c r="G48" s="88"/>
      <c r="H48" s="88"/>
      <c r="I48" s="88"/>
      <c r="J48" s="286">
        <f>'Liquidacion Carlos Figueroa'!E27</f>
        <v>965933.5555555555</v>
      </c>
      <c r="K48" s="286"/>
      <c r="L48" s="286"/>
      <c r="M48" s="286"/>
      <c r="N48" s="286"/>
      <c r="O48" s="286"/>
      <c r="P48" s="286"/>
      <c r="Q48" s="286"/>
      <c r="R48" s="286"/>
      <c r="S48" s="286"/>
    </row>
    <row r="49" spans="2:19" ht="16.5" customHeight="1"/>
    <row r="50" spans="2:19" ht="15.75" customHeight="1">
      <c r="O50" s="285"/>
      <c r="P50" s="285"/>
      <c r="R50" s="285"/>
      <c r="S50" s="285"/>
    </row>
    <row r="51" spans="2:19" ht="6.75" customHeight="1"/>
    <row r="52" spans="2:19" ht="16.5" customHeight="1">
      <c r="B52" s="285"/>
      <c r="C52" s="285"/>
      <c r="D52" s="285"/>
      <c r="E52" s="285"/>
      <c r="O52" s="285"/>
      <c r="P52" s="285"/>
      <c r="Q52" s="285"/>
      <c r="R52" s="285"/>
      <c r="S52" s="285"/>
    </row>
  </sheetData>
  <mergeCells count="44">
    <mergeCell ref="J48:S48"/>
    <mergeCell ref="O50:P50"/>
    <mergeCell ref="R50:S50"/>
    <mergeCell ref="B52:E52"/>
    <mergeCell ref="O52:S52"/>
    <mergeCell ref="B47:M47"/>
    <mergeCell ref="O47:S47"/>
    <mergeCell ref="O36:S36"/>
    <mergeCell ref="B38:H38"/>
    <mergeCell ref="J38:M38"/>
    <mergeCell ref="O38:S38"/>
    <mergeCell ref="B40:H40"/>
    <mergeCell ref="J40:M40"/>
    <mergeCell ref="O40:S40"/>
    <mergeCell ref="B42:H42"/>
    <mergeCell ref="J42:M42"/>
    <mergeCell ref="O42:S42"/>
    <mergeCell ref="J45:M45"/>
    <mergeCell ref="P45:S45"/>
    <mergeCell ref="B30:H30"/>
    <mergeCell ref="J30:M30"/>
    <mergeCell ref="B32:H32"/>
    <mergeCell ref="J32:M32"/>
    <mergeCell ref="B36:H36"/>
    <mergeCell ref="J36:M36"/>
    <mergeCell ref="B28:H28"/>
    <mergeCell ref="J28:M28"/>
    <mergeCell ref="B15:F15"/>
    <mergeCell ref="H15:M15"/>
    <mergeCell ref="O15:S15"/>
    <mergeCell ref="B22:H22"/>
    <mergeCell ref="J22:M22"/>
    <mergeCell ref="O22:S22"/>
    <mergeCell ref="B24:H24"/>
    <mergeCell ref="J24:M24"/>
    <mergeCell ref="O24:S24"/>
    <mergeCell ref="B26:H26"/>
    <mergeCell ref="J26:M26"/>
    <mergeCell ref="D11:H11"/>
    <mergeCell ref="R3:S3"/>
    <mergeCell ref="C8:H8"/>
    <mergeCell ref="B9:C9"/>
    <mergeCell ref="D9:J9"/>
    <mergeCell ref="F10:J10"/>
  </mergeCells>
  <pageMargins left="0.19685039370078741" right="0.19685039370078741" top="0.19685039370078741" bottom="0.19685039370078741" header="0" footer="0"/>
  <pageSetup paperSize="119" scale="95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3640-4A9B-4483-8E8C-A304E4E17E4D}">
  <dimension ref="B1:T55"/>
  <sheetViews>
    <sheetView tabSelected="1" workbookViewId="0">
      <selection activeCell="E19" sqref="E19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10.140625" bestFit="1" customWidth="1"/>
    <col min="7" max="7" width="11" bestFit="1" customWidth="1"/>
    <col min="8" max="8" width="22.5703125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tr">
        <f>+J10</f>
        <v>JULIO</v>
      </c>
      <c r="C1" s="2" t="str">
        <f>+CONCATENATE(B1," ",D1)</f>
        <v>JULIO 2022</v>
      </c>
      <c r="D1">
        <f>+'Impto Unico'!C1</f>
        <v>2022</v>
      </c>
    </row>
    <row r="3" spans="2:14">
      <c r="B3" s="4" t="s">
        <v>1</v>
      </c>
      <c r="C3" s="151">
        <v>29.8</v>
      </c>
      <c r="D3" t="s">
        <v>93</v>
      </c>
      <c r="E3" s="3">
        <f>G9</f>
        <v>376938.88888888888</v>
      </c>
      <c r="F3" t="s">
        <v>142</v>
      </c>
      <c r="G3" s="145">
        <v>380000</v>
      </c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D4" t="s">
        <v>96</v>
      </c>
      <c r="E4" s="73">
        <v>0</v>
      </c>
      <c r="F4" s="6" t="s">
        <v>143</v>
      </c>
      <c r="G4" s="145">
        <f>45*4</f>
        <v>180</v>
      </c>
      <c r="I4" s="4"/>
      <c r="J4" s="7">
        <v>81.599999999999994</v>
      </c>
      <c r="K4" s="7">
        <v>122.6</v>
      </c>
      <c r="L4" s="7">
        <f>+J4</f>
        <v>81.599999999999994</v>
      </c>
      <c r="M4" s="142"/>
      <c r="N4" s="4"/>
    </row>
    <row r="5" spans="2:14">
      <c r="B5" s="4" t="s">
        <v>9</v>
      </c>
      <c r="C5" s="10" t="s">
        <v>10</v>
      </c>
      <c r="E5" s="3">
        <f>+ROUND(E4*I6,0)</f>
        <v>0</v>
      </c>
      <c r="F5" t="s">
        <v>144</v>
      </c>
      <c r="G5" s="146">
        <f>G4*60</f>
        <v>10800</v>
      </c>
      <c r="I5" s="4"/>
      <c r="J5" s="4"/>
      <c r="K5" s="4"/>
      <c r="L5" s="11">
        <f>L4*7%</f>
        <v>5.7119999999999997</v>
      </c>
      <c r="M5" s="143">
        <f>(C8+C12+C11)*25%</f>
        <v>181984.97222222222</v>
      </c>
      <c r="N5" s="4"/>
    </row>
    <row r="6" spans="2:14">
      <c r="B6" s="4" t="s">
        <v>11</v>
      </c>
      <c r="C6" s="12" t="s">
        <v>136</v>
      </c>
      <c r="D6" s="82">
        <v>7.0000000000000007E-2</v>
      </c>
      <c r="E6" s="3">
        <f>+C19*D6</f>
        <v>61484.95888888889</v>
      </c>
      <c r="F6" t="s">
        <v>145</v>
      </c>
      <c r="G6" s="147">
        <f>G3/G5</f>
        <v>35.185185185185183</v>
      </c>
      <c r="I6" s="13">
        <f>+'Impto Unico'!L2</f>
        <v>33417.26</v>
      </c>
      <c r="J6" s="14">
        <f>+J4*$I$6</f>
        <v>2726848.4160000002</v>
      </c>
      <c r="K6" s="14">
        <f>K4*$I$6</f>
        <v>4096956.0759999999</v>
      </c>
      <c r="L6" s="15">
        <f>L5*I6</f>
        <v>190879.38912000001</v>
      </c>
      <c r="M6" s="14">
        <f>(380000*4.75)*(1/12)</f>
        <v>150416.66666666666</v>
      </c>
      <c r="N6" s="16">
        <f>C19-E8-IF((E9+E10)&lt;L6,(E9+E10),L6)-E12-E15-E16</f>
        <v>713576.5555555555</v>
      </c>
    </row>
    <row r="7" spans="2:14" ht="15.75" thickBot="1">
      <c r="C7" s="17"/>
      <c r="D7" s="18"/>
      <c r="F7" t="s">
        <v>146</v>
      </c>
      <c r="G7" s="146">
        <f>60+27</f>
        <v>87</v>
      </c>
      <c r="I7" s="19"/>
      <c r="J7" s="20"/>
      <c r="K7" s="20"/>
      <c r="L7" s="21"/>
      <c r="M7" s="20"/>
      <c r="N7" s="17"/>
    </row>
    <row r="8" spans="2:14">
      <c r="B8" s="22" t="s">
        <v>13</v>
      </c>
      <c r="C8" s="131">
        <f>E3</f>
        <v>376938.88888888888</v>
      </c>
      <c r="D8" s="152" t="str">
        <f>C6</f>
        <v>PlanVital</v>
      </c>
      <c r="E8" s="23">
        <f>ROUND(IF(C19&lt;J6,C19*J24,J6*J24),0)</f>
        <v>98025</v>
      </c>
      <c r="G8" s="146">
        <f>G5-G7</f>
        <v>10713</v>
      </c>
      <c r="I8" s="149"/>
      <c r="J8" s="141"/>
    </row>
    <row r="9" spans="2:14">
      <c r="B9" s="24" t="s">
        <v>14</v>
      </c>
      <c r="C9" s="17">
        <f>IF(M5&lt;M6,M5,M6)</f>
        <v>150416.66666666666</v>
      </c>
      <c r="D9" s="24" t="str">
        <f>D4</f>
        <v>FONASA</v>
      </c>
      <c r="E9" s="25">
        <f>+ROUND(IF(L6&lt;=E6,L6,E6),0)</f>
        <v>61485</v>
      </c>
      <c r="G9" s="148">
        <f>G8*G6</f>
        <v>376938.88888888888</v>
      </c>
      <c r="H9" s="74"/>
    </row>
    <row r="10" spans="2:14">
      <c r="B10" s="24"/>
      <c r="C10" s="31"/>
      <c r="D10" s="24" t="s">
        <v>16</v>
      </c>
      <c r="E10" s="26">
        <v>0</v>
      </c>
      <c r="G10">
        <f>G8/60</f>
        <v>178.55</v>
      </c>
      <c r="H10" s="150">
        <f>G10*H11/G11</f>
        <v>29.758333333333333</v>
      </c>
      <c r="J10" s="1" t="str">
        <f>+'Impto Unico'!B1</f>
        <v>JULIO</v>
      </c>
      <c r="K10" t="s">
        <v>18</v>
      </c>
    </row>
    <row r="11" spans="2:14">
      <c r="B11" s="24" t="s">
        <v>137</v>
      </c>
      <c r="C11" s="31">
        <v>0</v>
      </c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0</v>
      </c>
      <c r="G11">
        <v>180</v>
      </c>
      <c r="H11">
        <v>30</v>
      </c>
      <c r="I11" s="27" t="s">
        <v>20</v>
      </c>
      <c r="J11" s="28">
        <f>+'Impto Unico'!C2</f>
        <v>777019.5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>
      <c r="B12" s="24" t="s">
        <v>147</v>
      </c>
      <c r="C12" s="31">
        <v>351001</v>
      </c>
      <c r="D12" s="24" t="s">
        <v>98</v>
      </c>
      <c r="E12" s="25">
        <f>ROUND(IF(C5="INDEFINIDO",(IF(C19&gt;$K$6,($K$6*$M$22),($C$19*M22))),0),0)</f>
        <v>5270</v>
      </c>
      <c r="H12" s="56"/>
      <c r="I12" s="27"/>
      <c r="J12" s="28">
        <f>+'Impto Unico'!C3</f>
        <v>777019.51</v>
      </c>
      <c r="K12" s="28">
        <f>+'Impto Unico'!D3</f>
        <v>1726710</v>
      </c>
      <c r="L12" s="28">
        <f>+'Impto Unico'!E3</f>
        <v>0.04</v>
      </c>
      <c r="M12" s="28">
        <f>+'Impto Unico'!F3</f>
        <v>31080.78</v>
      </c>
      <c r="N12" s="28">
        <f>+'Impto Unico'!G3</f>
        <v>2.1999999999999999E-2</v>
      </c>
    </row>
    <row r="13" spans="2:14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f>+'Impto Unico'!C4</f>
        <v>1726710.01</v>
      </c>
      <c r="K13" s="28">
        <f>+'Impto Unico'!D4</f>
        <v>2877850</v>
      </c>
      <c r="L13" s="28">
        <f>+'Impto Unico'!E4</f>
        <v>0.08</v>
      </c>
      <c r="M13" s="28">
        <f>+'Impto Unico'!F4</f>
        <v>100149.18</v>
      </c>
      <c r="N13" s="28">
        <f>+'Impto Unico'!G4</f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f>+'Impto Unico'!C5</f>
        <v>2877850.01</v>
      </c>
      <c r="K14" s="28">
        <f>+'Impto Unico'!D5</f>
        <v>4028990</v>
      </c>
      <c r="L14" s="28">
        <f>+'Impto Unico'!E5</f>
        <v>0.13500000000000001</v>
      </c>
      <c r="M14" s="28">
        <f>+'Impto Unico'!F5</f>
        <v>258430.93</v>
      </c>
      <c r="N14" s="28">
        <f>+'Impto Unico'!G5</f>
        <v>7.0900000000000005E-2</v>
      </c>
    </row>
    <row r="15" spans="2:14">
      <c r="B15" s="24"/>
      <c r="C15" s="25"/>
      <c r="D15" s="24" t="s">
        <v>28</v>
      </c>
      <c r="E15" s="31"/>
      <c r="I15" s="27"/>
      <c r="J15" s="28">
        <f>+'Impto Unico'!C6</f>
        <v>4028990.01</v>
      </c>
      <c r="K15" s="28">
        <f>+'Impto Unico'!D6</f>
        <v>5180130</v>
      </c>
      <c r="L15" s="28">
        <f>+'Impto Unico'!E6</f>
        <v>0.23</v>
      </c>
      <c r="M15" s="28">
        <f>+'Impto Unico'!F6</f>
        <v>641184.98</v>
      </c>
      <c r="N15" s="28">
        <f>+'Impto Unico'!G6</f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f>+'Impto Unico'!C7</f>
        <v>5180130.01</v>
      </c>
      <c r="K16" s="28">
        <f>+'Impto Unico'!D7</f>
        <v>6906840</v>
      </c>
      <c r="L16" s="28">
        <f>+'Impto Unico'!E7</f>
        <v>0.30399999999999999</v>
      </c>
      <c r="M16" s="28">
        <f>+'Impto Unico'!F7</f>
        <v>1024514.6</v>
      </c>
      <c r="N16" s="28">
        <f>+'Impto Unico'!G7</f>
        <v>0.15570000000000001</v>
      </c>
    </row>
    <row r="17" spans="2:20">
      <c r="B17" s="24"/>
      <c r="C17" s="25"/>
      <c r="D17" s="24" t="s">
        <v>151</v>
      </c>
      <c r="E17" s="25">
        <v>100000</v>
      </c>
      <c r="I17" s="27"/>
      <c r="J17" s="28">
        <f>+'Impto Unico'!C8</f>
        <v>6906840.0099999998</v>
      </c>
      <c r="K17" s="28">
        <f>+'Impto Unico'!D8</f>
        <v>8633550</v>
      </c>
      <c r="L17" s="28">
        <f>+'Impto Unico'!E8</f>
        <v>0.35</v>
      </c>
      <c r="M17" s="28">
        <f>+'Impto Unico'!F8</f>
        <v>1342229.24</v>
      </c>
      <c r="N17" s="28">
        <f>+'Impto Unico'!G8</f>
        <v>0.19450000000000001</v>
      </c>
    </row>
    <row r="18" spans="2:20">
      <c r="B18" s="24"/>
      <c r="C18" s="25"/>
      <c r="D18" s="24"/>
      <c r="E18" s="25"/>
      <c r="I18" s="27"/>
      <c r="J18" s="28">
        <f>+'Impto Unico'!C9</f>
        <v>8633550.0099999998</v>
      </c>
      <c r="K18" s="28" t="str">
        <f>+'Impto Unico'!D9</f>
        <v>Y MÁS</v>
      </c>
      <c r="L18" s="28">
        <f>+'Impto Unico'!E9</f>
        <v>0.4</v>
      </c>
      <c r="M18" s="28">
        <f>+'Impto Unico'!F9</f>
        <v>1773906.74</v>
      </c>
      <c r="N18" s="28" t="str">
        <f>+'Impto Unico'!G9</f>
        <v>MÁS DE 19,45%</v>
      </c>
    </row>
    <row r="19" spans="2:20">
      <c r="B19" s="35" t="s">
        <v>33</v>
      </c>
      <c r="C19" s="36">
        <f>C8+C9+C12-C13+C10+C11</f>
        <v>878356.5555555555</v>
      </c>
      <c r="D19" s="35" t="s">
        <v>34</v>
      </c>
      <c r="E19" s="37">
        <f>SUM(E8:E17)</f>
        <v>264780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99</v>
      </c>
      <c r="C24" s="25">
        <v>17135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>
      <c r="B25" s="24" t="s">
        <v>100</v>
      </c>
      <c r="C25" s="25">
        <v>0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895491.5555555555</v>
      </c>
      <c r="D27" s="48" t="s">
        <v>46</v>
      </c>
      <c r="E27" s="49">
        <f>C19-E19+C24+C25</f>
        <v>630711.5555555555</v>
      </c>
      <c r="H27" s="74"/>
      <c r="I27" s="4" t="s">
        <v>101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I28" s="4" t="s">
        <v>95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</f>
        <v>630711.5555555555</v>
      </c>
      <c r="I29" s="56"/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2.4E-2</v>
      </c>
      <c r="D32" s="16">
        <f>IF(C19&gt;$K$6,($K$6*$C$32),($C$19*C32))</f>
        <v>21080.557333333334</v>
      </c>
      <c r="G32" s="6"/>
    </row>
    <row r="33" spans="2:10">
      <c r="B33" s="4" t="s">
        <v>123</v>
      </c>
      <c r="C33" s="39">
        <v>9.2999999999999992E-3</v>
      </c>
      <c r="D33" s="16">
        <f>IF(C19&lt;$J$6,C19*$C$33,$J$6*$C$33)</f>
        <v>8168.7159666666657</v>
      </c>
      <c r="E33" s="57"/>
      <c r="G33" s="6"/>
      <c r="H33" s="56">
        <f>C27-E19</f>
        <v>630711.5555555555</v>
      </c>
    </row>
    <row r="34" spans="2:10">
      <c r="B34" s="4" t="s">
        <v>51</v>
      </c>
      <c r="C34" s="39">
        <v>1.8599999999999998E-2</v>
      </c>
      <c r="D34" s="58">
        <f>IF(C19&lt;$J$6,C19*$C$34,$J$6*$C$34)</f>
        <v>16337.431933333331</v>
      </c>
      <c r="E34" s="57"/>
      <c r="G34" s="6"/>
    </row>
    <row r="35" spans="2:10">
      <c r="B35" s="7" t="s">
        <v>52</v>
      </c>
      <c r="C35" s="7"/>
      <c r="D35" s="59">
        <f>C27+D32+D33+D34</f>
        <v>941078.26078888879</v>
      </c>
      <c r="E35" s="60"/>
      <c r="G35" s="6"/>
      <c r="I35">
        <f>128/4</f>
        <v>32</v>
      </c>
    </row>
    <row r="36" spans="2:10">
      <c r="B36" s="61"/>
      <c r="C36" s="62"/>
      <c r="E36" s="17"/>
      <c r="G36" s="6"/>
    </row>
    <row r="37" spans="2:10">
      <c r="B37" s="61" t="s">
        <v>102</v>
      </c>
      <c r="C37" s="61" t="s">
        <v>152</v>
      </c>
      <c r="E37" s="17"/>
      <c r="G37" s="6"/>
    </row>
    <row r="38" spans="2:10">
      <c r="B38" t="s">
        <v>104</v>
      </c>
      <c r="C38" s="62" t="s">
        <v>153</v>
      </c>
      <c r="E38" s="17"/>
    </row>
    <row r="39" spans="2:10">
      <c r="B39" s="63" t="s">
        <v>106</v>
      </c>
      <c r="C39" s="62" t="s">
        <v>150</v>
      </c>
      <c r="E39" s="17"/>
    </row>
    <row r="40" spans="2:10">
      <c r="B40" t="s">
        <v>108</v>
      </c>
      <c r="C40" s="144">
        <v>43193</v>
      </c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G44" s="102"/>
      <c r="H44" s="6"/>
      <c r="I44" s="17"/>
    </row>
    <row r="45" spans="2:10">
      <c r="B45" s="61"/>
      <c r="C45" s="69"/>
      <c r="D45" s="125"/>
      <c r="E45" s="17"/>
      <c r="G45" s="102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BF41-54A8-4715-BD90-3A4DD9AA1531}">
  <sheetPr>
    <pageSetUpPr fitToPage="1"/>
  </sheetPr>
  <dimension ref="B3:S54"/>
  <sheetViews>
    <sheetView showGridLines="0" topLeftCell="A34" zoomScale="120" zoomScaleNormal="120" zoomScaleSheetLayoutView="90" workbookViewId="0">
      <selection activeCell="U51" sqref="U51"/>
    </sheetView>
  </sheetViews>
  <sheetFormatPr baseColWidth="10" defaultColWidth="11.42578125" defaultRowHeight="15"/>
  <cols>
    <col min="1" max="1" width="7.42578125" customWidth="1"/>
    <col min="2" max="2" width="7.140625" customWidth="1"/>
    <col min="3" max="3" width="2.7109375" customWidth="1"/>
    <col min="4" max="4" width="5.140625" customWidth="1"/>
    <col min="5" max="5" width="4.42578125" customWidth="1"/>
    <col min="6" max="6" width="8.7109375" customWidth="1"/>
    <col min="7" max="7" width="1.28515625" customWidth="1"/>
    <col min="8" max="8" width="7" customWidth="1"/>
    <col min="9" max="9" width="1.42578125" customWidth="1"/>
    <col min="10" max="10" width="4.140625" customWidth="1"/>
    <col min="11" max="11" width="1.7109375" customWidth="1"/>
    <col min="12" max="12" width="9.28515625" customWidth="1"/>
    <col min="13" max="13" width="4.7109375" customWidth="1"/>
    <col min="14" max="14" width="1.28515625" customWidth="1"/>
    <col min="15" max="15" width="1.42578125" customWidth="1"/>
    <col min="16" max="16" width="11.42578125" customWidth="1"/>
    <col min="17" max="17" width="0.7109375" customWidth="1"/>
    <col min="18" max="18" width="7.7109375" customWidth="1"/>
    <col min="19" max="19" width="6.28515625" customWidth="1"/>
    <col min="20" max="20" width="7" customWidth="1"/>
  </cols>
  <sheetData>
    <row r="3" spans="2:19" ht="18.75">
      <c r="J3" s="83"/>
      <c r="K3" s="83"/>
      <c r="L3" s="83"/>
      <c r="M3" s="83"/>
      <c r="R3" s="279" t="str">
        <f>+'Liquidacion Rolando Carrasco'!C1</f>
        <v>JULIO 2022</v>
      </c>
      <c r="S3" s="280"/>
    </row>
    <row r="6" spans="2:19" ht="18.75">
      <c r="B6" s="83" t="s">
        <v>110</v>
      </c>
      <c r="C6" s="83"/>
      <c r="D6" s="83"/>
      <c r="E6" s="83"/>
      <c r="F6" s="83"/>
      <c r="G6" s="83"/>
      <c r="H6" s="83"/>
      <c r="I6" s="83"/>
      <c r="J6" s="83"/>
      <c r="L6" s="83" t="s">
        <v>111</v>
      </c>
      <c r="M6" s="83"/>
    </row>
    <row r="8" spans="2:19" ht="18">
      <c r="B8" s="84"/>
      <c r="C8" s="277" t="str">
        <f>'Liquidacion Favio Remache'!C38</f>
        <v>26184548-2</v>
      </c>
      <c r="D8" s="278"/>
      <c r="E8" s="278"/>
      <c r="F8" s="278"/>
      <c r="G8" s="278"/>
      <c r="H8" s="278"/>
      <c r="I8" s="85"/>
      <c r="L8" s="86"/>
      <c r="M8" s="86"/>
      <c r="P8" s="91" t="s">
        <v>112</v>
      </c>
      <c r="S8" s="87"/>
    </row>
    <row r="9" spans="2:19" ht="16.5" customHeight="1">
      <c r="B9" s="281"/>
      <c r="C9" s="281"/>
      <c r="D9" s="282" t="str">
        <f>'Liquidacion Favio Remache'!C37</f>
        <v>Favio Remache</v>
      </c>
      <c r="E9" s="282"/>
      <c r="F9" s="282"/>
      <c r="G9" s="282"/>
      <c r="H9" s="282"/>
      <c r="I9" s="282"/>
      <c r="J9" s="282"/>
      <c r="L9" s="86"/>
      <c r="M9" s="91" t="s">
        <v>113</v>
      </c>
      <c r="O9" s="86"/>
      <c r="P9" s="86"/>
    </row>
    <row r="10" spans="2:19" ht="17.25" customHeight="1">
      <c r="B10" s="84"/>
      <c r="C10" s="84"/>
      <c r="D10" s="84"/>
      <c r="E10" s="84"/>
      <c r="F10" s="287">
        <f>'Liquidacion Favio Remache'!C40</f>
        <v>43193</v>
      </c>
      <c r="G10" s="287"/>
      <c r="H10" s="287"/>
      <c r="I10" s="287"/>
      <c r="J10" s="287"/>
      <c r="L10" s="86"/>
      <c r="M10" s="86"/>
      <c r="N10" s="91" t="s">
        <v>114</v>
      </c>
      <c r="O10" s="86"/>
      <c r="P10" s="92"/>
    </row>
    <row r="11" spans="2:19" ht="16.5" customHeight="1">
      <c r="B11" s="84"/>
      <c r="C11" s="84"/>
      <c r="D11" s="277" t="str">
        <f>'Liquidacion Favio Remache'!C39</f>
        <v>Producción</v>
      </c>
      <c r="E11" s="278"/>
      <c r="F11" s="278"/>
      <c r="G11" s="278"/>
      <c r="H11" s="278"/>
      <c r="L11" s="86"/>
      <c r="M11" s="91" t="s">
        <v>115</v>
      </c>
      <c r="O11" s="86"/>
      <c r="P11" s="86"/>
      <c r="Q11" s="86"/>
    </row>
    <row r="12" spans="2:19" ht="27" customHeight="1"/>
    <row r="13" spans="2:19" ht="19.5" customHeight="1"/>
    <row r="14" spans="2:19" ht="4.5" customHeight="1"/>
    <row r="15" spans="2:19" ht="18.75" customHeight="1">
      <c r="B15" s="284">
        <f>'Liquidacion Favio Remache'!C3</f>
        <v>29.8</v>
      </c>
      <c r="C15" s="284"/>
      <c r="D15" s="284"/>
      <c r="E15" s="284"/>
      <c r="F15" s="284"/>
      <c r="G15" s="52"/>
      <c r="H15" s="285"/>
      <c r="I15" s="285"/>
      <c r="J15" s="285"/>
      <c r="K15" s="285"/>
      <c r="L15" s="285"/>
      <c r="M15" s="285"/>
      <c r="O15" s="285"/>
      <c r="P15" s="285"/>
      <c r="Q15" s="285"/>
      <c r="R15" s="285"/>
      <c r="S15" s="285"/>
    </row>
    <row r="16" spans="2:19" ht="19.5" customHeight="1"/>
    <row r="18" spans="2:19" ht="16.5" customHeight="1"/>
    <row r="19" spans="2:19" ht="18.75" customHeight="1">
      <c r="Q19" t="s">
        <v>116</v>
      </c>
    </row>
    <row r="20" spans="2:19" ht="14.25" customHeight="1">
      <c r="B20" s="83" t="s">
        <v>117</v>
      </c>
    </row>
    <row r="21" spans="2:19" ht="8.25" customHeight="1"/>
    <row r="22" spans="2:19" ht="15.75" customHeight="1">
      <c r="B22" s="284" t="str">
        <f>'Liquidacion Favio Remache'!B8</f>
        <v>Sueldo base</v>
      </c>
      <c r="C22" s="284"/>
      <c r="D22" s="284"/>
      <c r="E22" s="284"/>
      <c r="F22" s="284"/>
      <c r="G22" s="284"/>
      <c r="H22" s="284"/>
      <c r="I22" s="88"/>
      <c r="J22" s="286">
        <f>'Liquidacion Favio Remache'!C8</f>
        <v>376938.88888888888</v>
      </c>
      <c r="K22" s="286"/>
      <c r="L22" s="286"/>
      <c r="M22" s="286"/>
      <c r="N22" s="88"/>
      <c r="O22" s="284"/>
      <c r="P22" s="284"/>
      <c r="Q22" s="284"/>
      <c r="R22" s="284"/>
      <c r="S22" s="284"/>
    </row>
    <row r="23" spans="2:19" ht="4.5" customHeight="1">
      <c r="B23" s="88"/>
      <c r="C23" s="88"/>
      <c r="D23" s="88"/>
      <c r="E23" s="88"/>
      <c r="F23" s="88"/>
      <c r="G23" s="88"/>
      <c r="H23" s="88"/>
      <c r="I23" s="88"/>
      <c r="J23" s="89"/>
      <c r="K23" s="89"/>
      <c r="L23" s="89"/>
      <c r="M23" s="89"/>
      <c r="N23" s="88"/>
      <c r="O23" s="88"/>
      <c r="P23" s="88"/>
      <c r="Q23" s="88"/>
      <c r="R23" s="88"/>
      <c r="S23" s="88"/>
    </row>
    <row r="24" spans="2:19" ht="15.75" customHeight="1">
      <c r="B24" s="284" t="str">
        <f>'Liquidacion Favio Remache'!B9</f>
        <v>Gratificación</v>
      </c>
      <c r="C24" s="284"/>
      <c r="D24" s="284"/>
      <c r="E24" s="284"/>
      <c r="F24" s="284"/>
      <c r="G24" s="284"/>
      <c r="H24" s="284"/>
      <c r="I24" s="88"/>
      <c r="J24" s="286">
        <f>'Liquidacion Favio Remache'!C9</f>
        <v>150416.66666666666</v>
      </c>
      <c r="K24" s="286"/>
      <c r="L24" s="286"/>
      <c r="M24" s="286"/>
      <c r="N24" s="88"/>
      <c r="O24" s="284"/>
      <c r="P24" s="284"/>
      <c r="Q24" s="284"/>
      <c r="R24" s="284"/>
      <c r="S24" s="284"/>
    </row>
    <row r="25" spans="2:19" ht="4.5" customHeight="1">
      <c r="B25" s="100"/>
      <c r="C25" s="100"/>
      <c r="D25" s="100"/>
      <c r="E25" s="100"/>
      <c r="F25" s="100"/>
      <c r="G25" s="100"/>
      <c r="H25" s="100"/>
      <c r="I25" s="88"/>
      <c r="J25" s="99"/>
      <c r="K25" s="99"/>
      <c r="L25" s="99"/>
      <c r="M25" s="99"/>
      <c r="N25" s="88"/>
      <c r="O25" s="100"/>
      <c r="P25" s="100"/>
      <c r="Q25" s="100"/>
      <c r="R25" s="100"/>
      <c r="S25" s="100"/>
    </row>
    <row r="26" spans="2:19" ht="15.75" customHeight="1">
      <c r="B26" s="284" t="str">
        <f>'Liquidacion Favio Remache'!B24</f>
        <v>Colación</v>
      </c>
      <c r="C26" s="284"/>
      <c r="D26" s="284"/>
      <c r="E26" s="284"/>
      <c r="F26" s="284"/>
      <c r="G26" s="284"/>
      <c r="H26" s="284"/>
      <c r="I26" s="88"/>
      <c r="J26" s="286">
        <f>'Liquidacion Favio Remache'!C24</f>
        <v>17135</v>
      </c>
      <c r="K26" s="286"/>
      <c r="L26" s="286"/>
      <c r="M26" s="286"/>
      <c r="N26" s="88"/>
      <c r="O26" s="100"/>
      <c r="P26" s="100"/>
      <c r="Q26" s="100"/>
      <c r="R26" s="100"/>
      <c r="S26" s="100"/>
    </row>
    <row r="27" spans="2:19" ht="6" customHeight="1">
      <c r="B27" s="100"/>
      <c r="C27" s="100"/>
      <c r="D27" s="100"/>
      <c r="E27" s="100"/>
      <c r="F27" s="100"/>
      <c r="G27" s="100"/>
      <c r="H27" s="100"/>
      <c r="I27" s="88"/>
      <c r="J27" s="99"/>
      <c r="K27" s="99"/>
      <c r="L27" s="99"/>
      <c r="M27" s="99"/>
      <c r="N27" s="88"/>
      <c r="O27" s="100"/>
      <c r="P27" s="100"/>
      <c r="Q27" s="100"/>
      <c r="R27" s="100"/>
      <c r="S27" s="100"/>
    </row>
    <row r="28" spans="2:19" ht="15.6" customHeight="1">
      <c r="B28" s="284" t="str">
        <f>'Liquidacion Favio Remache'!B25</f>
        <v>Movilización</v>
      </c>
      <c r="C28" s="284"/>
      <c r="D28" s="284"/>
      <c r="E28" s="284"/>
      <c r="F28" s="284"/>
      <c r="G28" s="284"/>
      <c r="H28" s="284"/>
      <c r="I28" s="88"/>
      <c r="J28" s="286">
        <f>'Liquidacion Favio Remache'!C25</f>
        <v>0</v>
      </c>
      <c r="K28" s="286"/>
      <c r="L28" s="286"/>
      <c r="M28" s="286"/>
      <c r="N28" s="88"/>
      <c r="O28" s="100"/>
      <c r="P28" s="100"/>
      <c r="Q28" s="100"/>
      <c r="R28" s="100"/>
      <c r="S28" s="100"/>
    </row>
    <row r="29" spans="2:19" ht="4.3499999999999996" customHeight="1">
      <c r="B29" s="100"/>
      <c r="C29" s="100"/>
      <c r="D29" s="100"/>
      <c r="E29" s="100"/>
      <c r="F29" s="100"/>
      <c r="G29" s="100"/>
      <c r="H29" s="100"/>
      <c r="I29" s="88"/>
      <c r="J29" s="99"/>
      <c r="K29" s="99"/>
      <c r="L29" s="99"/>
      <c r="M29" s="99"/>
      <c r="N29" s="88"/>
      <c r="O29" s="100"/>
      <c r="P29" s="100"/>
      <c r="Q29" s="100"/>
      <c r="R29" s="100"/>
      <c r="S29" s="100"/>
    </row>
    <row r="30" spans="2:19" ht="15.6" customHeight="1">
      <c r="B30" s="284" t="str">
        <f>'Liquidacion Favio Remache'!B12</f>
        <v xml:space="preserve">Bono Produccion </v>
      </c>
      <c r="C30" s="284"/>
      <c r="D30" s="284"/>
      <c r="E30" s="284"/>
      <c r="F30" s="284"/>
      <c r="G30" s="284"/>
      <c r="H30" s="284"/>
      <c r="I30" s="88"/>
      <c r="J30" s="286">
        <f>'Liquidacion Favio Remache'!C12</f>
        <v>351001</v>
      </c>
      <c r="K30" s="286"/>
      <c r="L30" s="286"/>
      <c r="M30" s="286"/>
      <c r="N30" s="88"/>
      <c r="O30" s="100"/>
      <c r="P30" s="100"/>
      <c r="Q30" s="100"/>
      <c r="R30" s="100"/>
      <c r="S30" s="100"/>
    </row>
    <row r="31" spans="2:19" ht="8.4499999999999993" customHeight="1">
      <c r="B31" s="100"/>
      <c r="C31" s="100"/>
      <c r="D31" s="100"/>
      <c r="E31" s="100"/>
      <c r="F31" s="100"/>
      <c r="G31" s="100"/>
      <c r="H31" s="100"/>
      <c r="I31" s="88"/>
      <c r="J31" s="99"/>
      <c r="K31" s="99"/>
      <c r="L31" s="99"/>
      <c r="M31" s="99"/>
      <c r="N31" s="88"/>
      <c r="O31" s="100"/>
      <c r="P31" s="100"/>
      <c r="Q31" s="100"/>
      <c r="R31" s="100"/>
      <c r="S31" s="100"/>
    </row>
    <row r="32" spans="2:19" ht="15.6" customHeight="1">
      <c r="B32" s="284"/>
      <c r="C32" s="284"/>
      <c r="D32" s="284"/>
      <c r="E32" s="284"/>
      <c r="F32" s="284"/>
      <c r="G32" s="284"/>
      <c r="H32" s="284"/>
      <c r="I32" s="88"/>
      <c r="J32" s="286"/>
      <c r="K32" s="286"/>
      <c r="L32" s="286"/>
      <c r="M32" s="286"/>
      <c r="N32" s="88"/>
      <c r="O32" s="100"/>
      <c r="P32" s="100"/>
      <c r="Q32" s="100"/>
      <c r="R32" s="100"/>
      <c r="S32" s="100"/>
    </row>
    <row r="33" spans="2:19" ht="14.25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2:19" ht="18.75">
      <c r="B34" s="90" t="s">
        <v>118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</row>
    <row r="35" spans="2:19" ht="6.75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</row>
    <row r="36" spans="2:19" ht="15.75" customHeight="1">
      <c r="B36" s="284" t="str">
        <f>'Liquidacion Favio Remache'!C6</f>
        <v>PlanVital</v>
      </c>
      <c r="C36" s="284"/>
      <c r="D36" s="284"/>
      <c r="E36" s="284"/>
      <c r="F36" s="284"/>
      <c r="G36" s="284"/>
      <c r="H36" s="284"/>
      <c r="I36" s="88"/>
      <c r="J36" s="284"/>
      <c r="K36" s="284"/>
      <c r="L36" s="284"/>
      <c r="M36" s="284"/>
      <c r="N36" s="88"/>
      <c r="O36" s="286">
        <f>'Liquidacion Favio Remache'!E8</f>
        <v>98025</v>
      </c>
      <c r="P36" s="286"/>
      <c r="Q36" s="286"/>
      <c r="R36" s="286"/>
      <c r="S36" s="286"/>
    </row>
    <row r="37" spans="2:19" ht="6" customHeight="1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  <c r="P37" s="89"/>
      <c r="Q37" s="89"/>
      <c r="R37" s="89"/>
      <c r="S37" s="89"/>
    </row>
    <row r="38" spans="2:19" ht="15.75" customHeight="1">
      <c r="B38" s="284" t="str">
        <f>'Liquidacion Favio Remache'!D4</f>
        <v>FONASA</v>
      </c>
      <c r="C38" s="284"/>
      <c r="D38" s="284"/>
      <c r="E38" s="284"/>
      <c r="F38" s="284"/>
      <c r="G38" s="284"/>
      <c r="H38" s="284"/>
      <c r="I38" s="88"/>
      <c r="J38" s="284"/>
      <c r="K38" s="284"/>
      <c r="L38" s="284"/>
      <c r="M38" s="284"/>
      <c r="N38" s="88"/>
      <c r="O38" s="286">
        <f>'Liquidacion Favio Remache'!E9</f>
        <v>61485</v>
      </c>
      <c r="P38" s="286"/>
      <c r="Q38" s="286"/>
      <c r="R38" s="286"/>
      <c r="S38" s="286"/>
    </row>
    <row r="39" spans="2:19" ht="5.0999999999999996" customHeight="1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9"/>
      <c r="P39" s="89"/>
      <c r="Q39" s="89"/>
      <c r="R39" s="89"/>
      <c r="S39" s="89"/>
    </row>
    <row r="40" spans="2:19" ht="15" customHeight="1">
      <c r="B40" s="284" t="str">
        <f>'Liquidacion Favio Remache'!D11</f>
        <v>Impuesto Unico</v>
      </c>
      <c r="C40" s="284"/>
      <c r="D40" s="284"/>
      <c r="E40" s="284"/>
      <c r="F40" s="284"/>
      <c r="G40" s="284"/>
      <c r="H40" s="284"/>
      <c r="I40" s="88"/>
      <c r="J40" s="284"/>
      <c r="K40" s="284"/>
      <c r="L40" s="284"/>
      <c r="M40" s="284"/>
      <c r="N40" s="88"/>
      <c r="O40" s="286">
        <f>'Liquidacion Favio Remache'!E11</f>
        <v>0</v>
      </c>
      <c r="P40" s="286"/>
      <c r="Q40" s="286"/>
      <c r="R40" s="286"/>
      <c r="S40" s="286"/>
    </row>
    <row r="41" spans="2:19" ht="6" customHeight="1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2:19" ht="15.75" customHeight="1">
      <c r="B42" s="284" t="str">
        <f>'Liquidacion Favio Remache'!D12</f>
        <v>Seg. Cesantia (0,6 %)</v>
      </c>
      <c r="C42" s="284"/>
      <c r="D42" s="284"/>
      <c r="E42" s="284"/>
      <c r="F42" s="284"/>
      <c r="G42" s="284"/>
      <c r="H42" s="284"/>
      <c r="I42" s="88"/>
      <c r="J42" s="284"/>
      <c r="K42" s="284"/>
      <c r="L42" s="284"/>
      <c r="M42" s="284"/>
      <c r="N42" s="88"/>
      <c r="O42" s="286">
        <f>'Liquidacion Favio Remache'!E12</f>
        <v>5270</v>
      </c>
      <c r="P42" s="286"/>
      <c r="Q42" s="286"/>
      <c r="R42" s="286"/>
      <c r="S42" s="286"/>
    </row>
    <row r="43" spans="2:19" ht="9" customHeight="1"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</row>
    <row r="44" spans="2:19" ht="15.6" customHeight="1">
      <c r="B44" s="284" t="str">
        <f>'Liquidacion Favio Remache'!D17</f>
        <v>Descuento Prestamo Empresa</v>
      </c>
      <c r="C44" s="284"/>
      <c r="D44" s="284"/>
      <c r="E44" s="284"/>
      <c r="F44" s="284"/>
      <c r="G44" s="284"/>
      <c r="H44" s="284"/>
      <c r="I44" s="88"/>
      <c r="J44" s="88"/>
      <c r="K44" s="88"/>
      <c r="L44" s="88"/>
      <c r="M44" s="88"/>
      <c r="N44" s="88"/>
      <c r="O44" s="88"/>
      <c r="P44" s="286">
        <f>'Liquidacion Favio Remache'!E17</f>
        <v>100000</v>
      </c>
      <c r="Q44" s="286"/>
      <c r="R44" s="286"/>
      <c r="S44" s="286"/>
    </row>
    <row r="45" spans="2:19" ht="15.6" customHeight="1"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</row>
    <row r="46" spans="2:19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</row>
    <row r="47" spans="2:19" ht="18" customHeight="1">
      <c r="B47" s="88"/>
      <c r="C47" s="88"/>
      <c r="D47" s="88"/>
      <c r="E47" s="88"/>
      <c r="F47" s="88"/>
      <c r="G47" s="88"/>
      <c r="H47" s="88"/>
      <c r="I47" s="88"/>
      <c r="J47" s="286">
        <f>'Liquidacion Favio Remache'!C27</f>
        <v>895491.5555555555</v>
      </c>
      <c r="K47" s="286"/>
      <c r="L47" s="286"/>
      <c r="M47" s="286"/>
      <c r="N47" s="88"/>
      <c r="O47" s="88"/>
      <c r="P47" s="286">
        <f>'Liquidacion Favio Remache'!E19</f>
        <v>264780</v>
      </c>
      <c r="Q47" s="286"/>
      <c r="R47" s="286"/>
      <c r="S47" s="286"/>
    </row>
    <row r="48" spans="2:19" ht="3" customHeight="1"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</row>
    <row r="49" spans="2:19" ht="6.75" customHeight="1">
      <c r="B49" s="284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4"/>
      <c r="N49" s="88"/>
      <c r="O49" s="284"/>
      <c r="P49" s="284"/>
      <c r="Q49" s="284"/>
      <c r="R49" s="284"/>
      <c r="S49" s="284"/>
    </row>
    <row r="50" spans="2:19">
      <c r="B50" s="88"/>
      <c r="C50" s="88"/>
      <c r="D50" s="88"/>
      <c r="E50" s="88"/>
      <c r="F50" s="88"/>
      <c r="G50" s="88"/>
      <c r="H50" s="88"/>
      <c r="I50" s="88"/>
      <c r="J50" s="286">
        <f>'Liquidacion Favio Remache'!E27</f>
        <v>630711.5555555555</v>
      </c>
      <c r="K50" s="286"/>
      <c r="L50" s="286"/>
      <c r="M50" s="286"/>
      <c r="N50" s="286"/>
      <c r="O50" s="286"/>
      <c r="P50" s="286"/>
      <c r="Q50" s="286"/>
      <c r="R50" s="286"/>
      <c r="S50" s="286"/>
    </row>
    <row r="51" spans="2:19" ht="16.5" customHeight="1"/>
    <row r="52" spans="2:19" ht="15.75" customHeight="1">
      <c r="O52" s="285"/>
      <c r="P52" s="285"/>
      <c r="R52" s="285"/>
      <c r="S52" s="285"/>
    </row>
    <row r="53" spans="2:19" ht="6.75" customHeight="1"/>
    <row r="54" spans="2:19" ht="16.5" customHeight="1">
      <c r="B54" s="285"/>
      <c r="C54" s="285"/>
      <c r="D54" s="285"/>
      <c r="E54" s="285"/>
      <c r="O54" s="285"/>
      <c r="P54" s="285"/>
      <c r="Q54" s="285"/>
      <c r="R54" s="285"/>
      <c r="S54" s="285"/>
    </row>
  </sheetData>
  <mergeCells count="46">
    <mergeCell ref="J50:S50"/>
    <mergeCell ref="O52:P52"/>
    <mergeCell ref="R52:S52"/>
    <mergeCell ref="B54:E54"/>
    <mergeCell ref="O54:S54"/>
    <mergeCell ref="J47:M47"/>
    <mergeCell ref="P47:S47"/>
    <mergeCell ref="B49:M49"/>
    <mergeCell ref="O49:S49"/>
    <mergeCell ref="O36:S36"/>
    <mergeCell ref="B38:H38"/>
    <mergeCell ref="J38:M38"/>
    <mergeCell ref="O38:S38"/>
    <mergeCell ref="B40:H40"/>
    <mergeCell ref="J40:M40"/>
    <mergeCell ref="O40:S40"/>
    <mergeCell ref="B44:H44"/>
    <mergeCell ref="P44:S44"/>
    <mergeCell ref="B42:H42"/>
    <mergeCell ref="J42:M42"/>
    <mergeCell ref="O42:S42"/>
    <mergeCell ref="B30:H30"/>
    <mergeCell ref="J30:M30"/>
    <mergeCell ref="B32:H32"/>
    <mergeCell ref="J32:M32"/>
    <mergeCell ref="B36:H36"/>
    <mergeCell ref="J36:M36"/>
    <mergeCell ref="B28:H28"/>
    <mergeCell ref="J28:M28"/>
    <mergeCell ref="B15:F15"/>
    <mergeCell ref="H15:M15"/>
    <mergeCell ref="O15:S15"/>
    <mergeCell ref="B22:H22"/>
    <mergeCell ref="J22:M22"/>
    <mergeCell ref="O22:S22"/>
    <mergeCell ref="B24:H24"/>
    <mergeCell ref="J24:M24"/>
    <mergeCell ref="O24:S24"/>
    <mergeCell ref="B26:H26"/>
    <mergeCell ref="J26:M26"/>
    <mergeCell ref="D11:H11"/>
    <mergeCell ref="R3:S3"/>
    <mergeCell ref="C8:H8"/>
    <mergeCell ref="B9:C9"/>
    <mergeCell ref="D9:J9"/>
    <mergeCell ref="F10:J10"/>
  </mergeCells>
  <pageMargins left="0.19685039370078741" right="0.19685039370078741" top="0.19685039370078741" bottom="0.19685039370078741" header="0" footer="0"/>
  <pageSetup paperSize="119" scale="92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ED16-6CE2-4DB6-A7F6-4731BE6FE284}">
  <dimension ref="B1:T55"/>
  <sheetViews>
    <sheetView topLeftCell="A2" workbookViewId="0">
      <selection activeCell="H33" sqref="H33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10.140625" bestFit="1" customWidth="1"/>
    <col min="7" max="7" width="11" bestFit="1" customWidth="1"/>
    <col min="8" max="8" width="9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tr">
        <f>+J10</f>
        <v>JULIO</v>
      </c>
      <c r="C1" s="2" t="str">
        <f>+CONCATENATE(B1," ",D1)</f>
        <v>JULIO 2022</v>
      </c>
      <c r="D1">
        <f>+'Impto Unico'!C1</f>
        <v>2022</v>
      </c>
    </row>
    <row r="3" spans="2:14">
      <c r="B3" s="4" t="s">
        <v>1</v>
      </c>
      <c r="C3" s="151">
        <v>30</v>
      </c>
      <c r="D3" t="s">
        <v>93</v>
      </c>
      <c r="E3" s="3">
        <v>382000</v>
      </c>
      <c r="F3" t="s">
        <v>142</v>
      </c>
      <c r="G3" s="145">
        <v>350000</v>
      </c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D4" t="s">
        <v>96</v>
      </c>
      <c r="E4" s="73">
        <v>0</v>
      </c>
      <c r="F4" s="6" t="s">
        <v>143</v>
      </c>
      <c r="G4" s="145">
        <f>45*4</f>
        <v>180</v>
      </c>
      <c r="I4" s="4"/>
      <c r="J4" s="7">
        <v>81.599999999999994</v>
      </c>
      <c r="K4" s="7">
        <v>122.6</v>
      </c>
      <c r="L4" s="7">
        <f>+J4</f>
        <v>81.599999999999994</v>
      </c>
      <c r="M4" s="142"/>
      <c r="N4" s="4"/>
    </row>
    <row r="5" spans="2:14">
      <c r="B5" s="4" t="s">
        <v>9</v>
      </c>
      <c r="C5" s="10" t="s">
        <v>10</v>
      </c>
      <c r="E5" s="3">
        <f>+ROUND(E4*I6,0)</f>
        <v>0</v>
      </c>
      <c r="F5" t="s">
        <v>144</v>
      </c>
      <c r="G5" s="146">
        <f>G4*60</f>
        <v>10800</v>
      </c>
      <c r="I5" s="4"/>
      <c r="J5" s="4"/>
      <c r="K5" s="4"/>
      <c r="L5" s="11">
        <f>L4*7%</f>
        <v>5.7119999999999997</v>
      </c>
      <c r="M5" s="143">
        <f>(C8+C12+C11)*25%</f>
        <v>274246</v>
      </c>
      <c r="N5" s="4"/>
    </row>
    <row r="6" spans="2:14">
      <c r="B6" s="4" t="s">
        <v>11</v>
      </c>
      <c r="C6" s="12" t="s">
        <v>154</v>
      </c>
      <c r="D6" s="82">
        <v>7.0000000000000007E-2</v>
      </c>
      <c r="E6" s="3">
        <f>+C19*D6</f>
        <v>87318.046666666662</v>
      </c>
      <c r="F6" t="s">
        <v>145</v>
      </c>
      <c r="G6" s="147">
        <f>G3/G5</f>
        <v>32.407407407407405</v>
      </c>
      <c r="I6" s="13">
        <f>+'Impto Unico'!L2</f>
        <v>33417.26</v>
      </c>
      <c r="J6" s="14">
        <f>+J4*$I$6</f>
        <v>2726848.4160000002</v>
      </c>
      <c r="K6" s="14">
        <f>K4*$I$6</f>
        <v>4096956.0759999999</v>
      </c>
      <c r="L6" s="15">
        <f>L5*I6</f>
        <v>190879.38912000001</v>
      </c>
      <c r="M6" s="14">
        <f>(380000*4.75)*(1/12)</f>
        <v>150416.66666666666</v>
      </c>
      <c r="N6" s="16">
        <f>C19-E8-IF((E9+E10)&lt;L6,(E9+E10),L6)-E12-E15-E16</f>
        <v>1017255.6666666665</v>
      </c>
    </row>
    <row r="7" spans="2:14" ht="15.75" thickBot="1">
      <c r="C7" s="17"/>
      <c r="D7" s="18"/>
      <c r="F7" t="s">
        <v>146</v>
      </c>
      <c r="G7" s="146">
        <f>60+27</f>
        <v>87</v>
      </c>
      <c r="I7" s="19"/>
      <c r="J7" s="20"/>
      <c r="K7" s="20"/>
      <c r="L7" s="21"/>
      <c r="M7" s="20"/>
      <c r="N7" s="17"/>
    </row>
    <row r="8" spans="2:14">
      <c r="B8" s="22" t="s">
        <v>13</v>
      </c>
      <c r="C8" s="131">
        <f>E3</f>
        <v>382000</v>
      </c>
      <c r="D8" s="152" t="str">
        <f>C6</f>
        <v>Provida</v>
      </c>
      <c r="E8" s="23">
        <f>ROUND(IF(C19&lt;J6,C19*J25,J6*J25),0)</f>
        <v>142827</v>
      </c>
      <c r="G8" s="146">
        <f>G5-G7</f>
        <v>10713</v>
      </c>
      <c r="I8" s="149"/>
      <c r="J8" s="141"/>
    </row>
    <row r="9" spans="2:14">
      <c r="B9" s="24" t="s">
        <v>14</v>
      </c>
      <c r="C9" s="17">
        <f>IF(M5&lt;M6,M5,M6)</f>
        <v>150416.66666666666</v>
      </c>
      <c r="D9" s="24" t="str">
        <f>D4</f>
        <v>FONASA</v>
      </c>
      <c r="E9" s="25">
        <f>+ROUND(IF(L6&lt;=E6,L6,E6),0)</f>
        <v>87318</v>
      </c>
      <c r="G9" s="148">
        <f>G8*G6</f>
        <v>347180.5555555555</v>
      </c>
      <c r="H9" s="74"/>
    </row>
    <row r="10" spans="2:14">
      <c r="B10" s="24"/>
      <c r="C10" s="31"/>
      <c r="D10" s="24" t="s">
        <v>16</v>
      </c>
      <c r="E10" s="26">
        <v>0</v>
      </c>
      <c r="G10">
        <f>G8/60</f>
        <v>178.55</v>
      </c>
      <c r="H10" s="150">
        <f>G10*H11/G11</f>
        <v>29.758333333333333</v>
      </c>
      <c r="J10" s="1" t="str">
        <f>+'Impto Unico'!B1</f>
        <v>JULIO</v>
      </c>
      <c r="K10" t="s">
        <v>18</v>
      </c>
    </row>
    <row r="11" spans="2:14">
      <c r="B11" s="24" t="s">
        <v>138</v>
      </c>
      <c r="C11" s="31">
        <v>657684</v>
      </c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9609</v>
      </c>
      <c r="G11">
        <v>180</v>
      </c>
      <c r="H11">
        <v>30</v>
      </c>
      <c r="I11" s="27" t="s">
        <v>20</v>
      </c>
      <c r="J11" s="28">
        <f>+'Impto Unico'!C2</f>
        <v>777019.5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>
      <c r="B12" s="24" t="s">
        <v>137</v>
      </c>
      <c r="C12" s="244">
        <v>57300</v>
      </c>
      <c r="D12" s="24" t="s">
        <v>98</v>
      </c>
      <c r="E12" s="25">
        <v>0</v>
      </c>
      <c r="H12" s="56"/>
      <c r="I12" s="27"/>
      <c r="J12" s="28">
        <f>+'Impto Unico'!C3</f>
        <v>777019.51</v>
      </c>
      <c r="K12" s="28">
        <f>+'Impto Unico'!D3</f>
        <v>1726710</v>
      </c>
      <c r="L12" s="28">
        <f>+'Impto Unico'!E3</f>
        <v>0.04</v>
      </c>
      <c r="M12" s="28">
        <f>+'Impto Unico'!F3</f>
        <v>31080.78</v>
      </c>
      <c r="N12" s="28">
        <f>+'Impto Unico'!G3</f>
        <v>2.1999999999999999E-2</v>
      </c>
    </row>
    <row r="13" spans="2:14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f>+'Impto Unico'!C4</f>
        <v>1726710.01</v>
      </c>
      <c r="K13" s="28">
        <f>+'Impto Unico'!D4</f>
        <v>2877850</v>
      </c>
      <c r="L13" s="28">
        <f>+'Impto Unico'!E4</f>
        <v>0.08</v>
      </c>
      <c r="M13" s="28">
        <f>+'Impto Unico'!F4</f>
        <v>100149.18</v>
      </c>
      <c r="N13" s="28">
        <f>+'Impto Unico'!G4</f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f>+'Impto Unico'!C5</f>
        <v>2877850.01</v>
      </c>
      <c r="K14" s="28">
        <f>+'Impto Unico'!D5</f>
        <v>4028990</v>
      </c>
      <c r="L14" s="28">
        <f>+'Impto Unico'!E5</f>
        <v>0.13500000000000001</v>
      </c>
      <c r="M14" s="28">
        <f>+'Impto Unico'!F5</f>
        <v>258430.93</v>
      </c>
      <c r="N14" s="28">
        <f>+'Impto Unico'!G5</f>
        <v>7.0900000000000005E-2</v>
      </c>
    </row>
    <row r="15" spans="2:14">
      <c r="B15" s="24"/>
      <c r="C15" s="25"/>
      <c r="D15" s="24" t="s">
        <v>28</v>
      </c>
      <c r="E15" s="31"/>
      <c r="G15" s="141">
        <f>C19*J25</f>
        <v>142827.37633333332</v>
      </c>
      <c r="I15" s="27"/>
      <c r="J15" s="28">
        <f>+'Impto Unico'!C6</f>
        <v>4028990.01</v>
      </c>
      <c r="K15" s="28">
        <f>+'Impto Unico'!D6</f>
        <v>5180130</v>
      </c>
      <c r="L15" s="28">
        <f>+'Impto Unico'!E6</f>
        <v>0.23</v>
      </c>
      <c r="M15" s="28">
        <f>+'Impto Unico'!F6</f>
        <v>641184.98</v>
      </c>
      <c r="N15" s="28">
        <f>+'Impto Unico'!G6</f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f>+'Impto Unico'!C7</f>
        <v>5180130.01</v>
      </c>
      <c r="K16" s="28">
        <f>+'Impto Unico'!D7</f>
        <v>6906840</v>
      </c>
      <c r="L16" s="28">
        <f>+'Impto Unico'!E7</f>
        <v>0.30399999999999999</v>
      </c>
      <c r="M16" s="28">
        <f>+'Impto Unico'!F7</f>
        <v>1024514.6</v>
      </c>
      <c r="N16" s="28">
        <f>+'Impto Unico'!G7</f>
        <v>0.15570000000000001</v>
      </c>
    </row>
    <row r="17" spans="2:20">
      <c r="B17" s="24"/>
      <c r="C17" s="25"/>
      <c r="D17" s="24" t="s">
        <v>151</v>
      </c>
      <c r="E17" s="25">
        <v>0</v>
      </c>
      <c r="I17" s="27"/>
      <c r="J17" s="28">
        <f>+'Impto Unico'!C8</f>
        <v>6906840.0099999998</v>
      </c>
      <c r="K17" s="28">
        <f>+'Impto Unico'!D8</f>
        <v>8633550</v>
      </c>
      <c r="L17" s="28">
        <f>+'Impto Unico'!E8</f>
        <v>0.35</v>
      </c>
      <c r="M17" s="28">
        <f>+'Impto Unico'!F8</f>
        <v>1342229.24</v>
      </c>
      <c r="N17" s="28">
        <f>+'Impto Unico'!G8</f>
        <v>0.19450000000000001</v>
      </c>
    </row>
    <row r="18" spans="2:20">
      <c r="B18" s="24"/>
      <c r="C18" s="25"/>
      <c r="D18" s="24"/>
      <c r="E18" s="25"/>
      <c r="I18" s="27"/>
      <c r="J18" s="28">
        <f>+'Impto Unico'!C9</f>
        <v>8633550.0099999998</v>
      </c>
      <c r="K18" s="28" t="str">
        <f>+'Impto Unico'!D9</f>
        <v>Y MÁS</v>
      </c>
      <c r="L18" s="28">
        <f>+'Impto Unico'!E9</f>
        <v>0.4</v>
      </c>
      <c r="M18" s="28">
        <f>+'Impto Unico'!F9</f>
        <v>1773906.74</v>
      </c>
      <c r="N18" s="28" t="str">
        <f>+'Impto Unico'!G9</f>
        <v>MÁS DE 19,45%</v>
      </c>
    </row>
    <row r="19" spans="2:20">
      <c r="B19" s="35" t="s">
        <v>33</v>
      </c>
      <c r="C19" s="36">
        <f>C8+C9+C12-C13+C10+C11</f>
        <v>1247400.6666666665</v>
      </c>
      <c r="D19" s="35" t="s">
        <v>34</v>
      </c>
      <c r="E19" s="37">
        <f>SUM(E8:E17)</f>
        <v>239754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99</v>
      </c>
      <c r="C24" s="25">
        <v>80000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>
      <c r="B25" s="24" t="s">
        <v>100</v>
      </c>
      <c r="C25" s="25">
        <v>65998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1393398.6666666665</v>
      </c>
      <c r="D27" s="48" t="s">
        <v>46</v>
      </c>
      <c r="E27" s="49">
        <f>C19-E19+C24+C25</f>
        <v>1153644.6666666665</v>
      </c>
      <c r="H27" s="74"/>
      <c r="I27" s="4" t="s">
        <v>101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I28" s="4" t="s">
        <v>95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</f>
        <v>1153644.6666666665</v>
      </c>
      <c r="I29" s="56"/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0.03</v>
      </c>
      <c r="D32" s="16">
        <f>IF(C19&gt;$K$6,($K$6*$C$32),($C$19*C32))</f>
        <v>37422.019999999997</v>
      </c>
      <c r="G32" s="6"/>
    </row>
    <row r="33" spans="2:10">
      <c r="B33" s="4" t="s">
        <v>123</v>
      </c>
      <c r="C33" s="39">
        <v>9.2999999999999992E-3</v>
      </c>
      <c r="D33" s="16">
        <f>IF(C19&lt;$J$6,C19*$C$33,$J$6*$C$33)</f>
        <v>11600.826199999998</v>
      </c>
      <c r="E33" s="57"/>
      <c r="G33" s="6"/>
    </row>
    <row r="34" spans="2:10">
      <c r="B34" s="4" t="s">
        <v>51</v>
      </c>
      <c r="C34" s="39">
        <v>1.8599999999999998E-2</v>
      </c>
      <c r="D34" s="58">
        <f>IF(C19&lt;$J$6,C19*$C$34,$J$6*$C$34)</f>
        <v>23201.652399999995</v>
      </c>
      <c r="E34" s="57"/>
      <c r="G34" s="6"/>
    </row>
    <row r="35" spans="2:10">
      <c r="B35" s="7" t="s">
        <v>52</v>
      </c>
      <c r="C35" s="7"/>
      <c r="D35" s="59">
        <f>C27+D32+D33+D34</f>
        <v>1465623.1652666666</v>
      </c>
      <c r="E35" s="60"/>
      <c r="G35" s="6"/>
      <c r="I35">
        <f>128/4</f>
        <v>32</v>
      </c>
    </row>
    <row r="36" spans="2:10">
      <c r="B36" s="61"/>
      <c r="C36" s="62"/>
      <c r="E36" s="17"/>
      <c r="G36" s="6"/>
    </row>
    <row r="37" spans="2:10">
      <c r="B37" s="61" t="s">
        <v>102</v>
      </c>
      <c r="C37" s="61" t="s">
        <v>155</v>
      </c>
      <c r="E37" s="17"/>
      <c r="G37" s="6"/>
    </row>
    <row r="38" spans="2:10">
      <c r="B38" t="s">
        <v>104</v>
      </c>
      <c r="C38" s="62" t="s">
        <v>156</v>
      </c>
      <c r="E38" s="17"/>
    </row>
    <row r="39" spans="2:10">
      <c r="B39" s="63" t="s">
        <v>106</v>
      </c>
      <c r="C39" s="62" t="s">
        <v>135</v>
      </c>
      <c r="E39" s="17"/>
    </row>
    <row r="40" spans="2:10">
      <c r="B40" t="s">
        <v>108</v>
      </c>
      <c r="C40" s="144">
        <v>42370</v>
      </c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G44" s="102"/>
      <c r="H44" s="6"/>
      <c r="I44" s="17"/>
    </row>
    <row r="45" spans="2:10">
      <c r="B45" s="61"/>
      <c r="C45" s="69"/>
      <c r="D45" s="125"/>
      <c r="E45" s="17"/>
      <c r="G45" s="102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24B0-5EAE-469A-95AC-9E63D19EBB4A}">
  <sheetPr>
    <pageSetUpPr fitToPage="1"/>
  </sheetPr>
  <dimension ref="B3:S52"/>
  <sheetViews>
    <sheetView showGridLines="0" zoomScale="120" zoomScaleNormal="120" zoomScaleSheetLayoutView="90" workbookViewId="0">
      <selection activeCell="U16" sqref="U16"/>
    </sheetView>
  </sheetViews>
  <sheetFormatPr baseColWidth="10" defaultColWidth="11.42578125" defaultRowHeight="15"/>
  <cols>
    <col min="1" max="1" width="7.42578125" customWidth="1"/>
    <col min="2" max="2" width="7.140625" customWidth="1"/>
    <col min="3" max="3" width="2.7109375" customWidth="1"/>
    <col min="4" max="4" width="5.140625" customWidth="1"/>
    <col min="5" max="5" width="4.42578125" customWidth="1"/>
    <col min="6" max="6" width="8.7109375" customWidth="1"/>
    <col min="7" max="7" width="1.28515625" customWidth="1"/>
    <col min="8" max="8" width="7" customWidth="1"/>
    <col min="9" max="9" width="1.42578125" customWidth="1"/>
    <col min="10" max="10" width="4.140625" customWidth="1"/>
    <col min="11" max="11" width="1.7109375" customWidth="1"/>
    <col min="12" max="12" width="9.28515625" customWidth="1"/>
    <col min="13" max="13" width="4.7109375" customWidth="1"/>
    <col min="14" max="14" width="1.28515625" customWidth="1"/>
    <col min="15" max="15" width="1.42578125" customWidth="1"/>
    <col min="16" max="16" width="11.42578125" customWidth="1"/>
    <col min="17" max="17" width="0.7109375" customWidth="1"/>
    <col min="18" max="18" width="7.7109375" customWidth="1"/>
    <col min="19" max="19" width="6.28515625" customWidth="1"/>
    <col min="20" max="20" width="7" customWidth="1"/>
  </cols>
  <sheetData>
    <row r="3" spans="2:19" ht="18.75">
      <c r="J3" s="83"/>
      <c r="K3" s="83"/>
      <c r="L3" s="83"/>
      <c r="M3" s="83"/>
      <c r="R3" s="279" t="str">
        <f>+'Liquidacion Rolando Carrasco'!C1</f>
        <v>JULIO 2022</v>
      </c>
      <c r="S3" s="280"/>
    </row>
    <row r="6" spans="2:19" ht="18.75">
      <c r="B6" s="83" t="s">
        <v>110</v>
      </c>
      <c r="C6" s="83"/>
      <c r="D6" s="83"/>
      <c r="E6" s="83"/>
      <c r="F6" s="83"/>
      <c r="G6" s="83"/>
      <c r="H6" s="83"/>
      <c r="I6" s="83"/>
      <c r="J6" s="83"/>
      <c r="L6" s="83" t="s">
        <v>111</v>
      </c>
      <c r="M6" s="83"/>
    </row>
    <row r="8" spans="2:19" ht="18">
      <c r="B8" s="84"/>
      <c r="C8" s="277" t="str">
        <f>'Liquidacion Ingrid Soto'!C38</f>
        <v>14297190-9</v>
      </c>
      <c r="D8" s="278"/>
      <c r="E8" s="278"/>
      <c r="F8" s="278"/>
      <c r="G8" s="278"/>
      <c r="H8" s="278"/>
      <c r="I8" s="85"/>
      <c r="L8" s="86"/>
      <c r="M8" s="86"/>
      <c r="P8" s="91" t="s">
        <v>112</v>
      </c>
      <c r="S8" s="87"/>
    </row>
    <row r="9" spans="2:19" ht="16.5" customHeight="1">
      <c r="B9" s="281"/>
      <c r="C9" s="281"/>
      <c r="D9" s="282" t="str">
        <f>'Liquidacion Ingrid Soto'!C37</f>
        <v>Ingrid Soto</v>
      </c>
      <c r="E9" s="282"/>
      <c r="F9" s="282"/>
      <c r="G9" s="282"/>
      <c r="H9" s="282"/>
      <c r="I9" s="282"/>
      <c r="J9" s="282"/>
      <c r="L9" s="86"/>
      <c r="M9" s="91" t="s">
        <v>113</v>
      </c>
      <c r="O9" s="86"/>
      <c r="P9" s="86"/>
    </row>
    <row r="10" spans="2:19" ht="17.25" customHeight="1">
      <c r="B10" s="84"/>
      <c r="C10" s="84"/>
      <c r="D10" s="84"/>
      <c r="E10" s="84"/>
      <c r="F10" s="287">
        <f>'Liquidacion Ingrid Soto'!C40</f>
        <v>42370</v>
      </c>
      <c r="G10" s="287"/>
      <c r="H10" s="287"/>
      <c r="I10" s="287"/>
      <c r="J10" s="287"/>
      <c r="L10" s="86"/>
      <c r="M10" s="86"/>
      <c r="N10" s="91" t="s">
        <v>114</v>
      </c>
      <c r="O10" s="86"/>
      <c r="P10" s="92"/>
    </row>
    <row r="11" spans="2:19" ht="16.5" customHeight="1">
      <c r="B11" s="84"/>
      <c r="C11" s="84"/>
      <c r="D11" s="277" t="str">
        <f>'Liquidacion Ingrid Soto'!C39</f>
        <v>Gerencia</v>
      </c>
      <c r="E11" s="278"/>
      <c r="F11" s="278"/>
      <c r="G11" s="278"/>
      <c r="H11" s="278"/>
      <c r="L11" s="86"/>
      <c r="M11" s="91" t="s">
        <v>115</v>
      </c>
      <c r="O11" s="86"/>
      <c r="P11" s="86"/>
      <c r="Q11" s="86"/>
    </row>
    <row r="12" spans="2:19" ht="27" customHeight="1"/>
    <row r="13" spans="2:19" ht="19.5" customHeight="1"/>
    <row r="14" spans="2:19" ht="4.5" customHeight="1"/>
    <row r="15" spans="2:19" ht="18.75" customHeight="1">
      <c r="B15" s="284">
        <f>'Liquidacion Ingrid Soto'!C3</f>
        <v>30</v>
      </c>
      <c r="C15" s="284"/>
      <c r="D15" s="284"/>
      <c r="E15" s="284"/>
      <c r="F15" s="284"/>
      <c r="G15" s="52"/>
      <c r="H15" s="285"/>
      <c r="I15" s="285"/>
      <c r="J15" s="285"/>
      <c r="K15" s="285"/>
      <c r="L15" s="285"/>
      <c r="M15" s="285"/>
      <c r="O15" s="285"/>
      <c r="P15" s="285"/>
      <c r="Q15" s="285"/>
      <c r="R15" s="285"/>
      <c r="S15" s="285"/>
    </row>
    <row r="16" spans="2:19" ht="19.5" customHeight="1"/>
    <row r="18" spans="2:19" ht="16.5" customHeight="1"/>
    <row r="19" spans="2:19" ht="18.75" customHeight="1">
      <c r="Q19" t="s">
        <v>116</v>
      </c>
    </row>
    <row r="20" spans="2:19" ht="14.25" customHeight="1">
      <c r="B20" s="83" t="s">
        <v>117</v>
      </c>
    </row>
    <row r="21" spans="2:19" ht="8.25" customHeight="1"/>
    <row r="22" spans="2:19" ht="15.75" customHeight="1">
      <c r="B22" s="284" t="str">
        <f>'Liquidacion Ingrid Soto'!B8</f>
        <v>Sueldo base</v>
      </c>
      <c r="C22" s="284"/>
      <c r="D22" s="284"/>
      <c r="E22" s="284"/>
      <c r="F22" s="284"/>
      <c r="G22" s="284"/>
      <c r="H22" s="284"/>
      <c r="I22" s="88"/>
      <c r="J22" s="286">
        <f>'Liquidacion Ingrid Soto'!C8</f>
        <v>382000</v>
      </c>
      <c r="K22" s="286"/>
      <c r="L22" s="286"/>
      <c r="M22" s="286"/>
      <c r="N22" s="88"/>
      <c r="O22" s="284"/>
      <c r="P22" s="284"/>
      <c r="Q22" s="284"/>
      <c r="R22" s="284"/>
      <c r="S22" s="284"/>
    </row>
    <row r="23" spans="2:19" ht="4.5" customHeight="1">
      <c r="B23" s="88"/>
      <c r="C23" s="88"/>
      <c r="D23" s="88"/>
      <c r="E23" s="88"/>
      <c r="F23" s="88"/>
      <c r="G23" s="88"/>
      <c r="H23" s="88"/>
      <c r="I23" s="88"/>
      <c r="J23" s="89"/>
      <c r="K23" s="89"/>
      <c r="L23" s="89"/>
      <c r="M23" s="89"/>
      <c r="N23" s="88"/>
      <c r="O23" s="88"/>
      <c r="P23" s="88"/>
      <c r="Q23" s="88"/>
      <c r="R23" s="88"/>
      <c r="S23" s="88"/>
    </row>
    <row r="24" spans="2:19" ht="15.75" customHeight="1">
      <c r="B24" s="284" t="str">
        <f>'Liquidacion Ingrid Soto'!B9</f>
        <v>Gratificación</v>
      </c>
      <c r="C24" s="284"/>
      <c r="D24" s="284"/>
      <c r="E24" s="284"/>
      <c r="F24" s="284"/>
      <c r="G24" s="284"/>
      <c r="H24" s="284"/>
      <c r="I24" s="88"/>
      <c r="J24" s="286">
        <f>'Liquidacion Ingrid Soto'!C9</f>
        <v>150416.66666666666</v>
      </c>
      <c r="K24" s="286"/>
      <c r="L24" s="286"/>
      <c r="M24" s="286"/>
      <c r="N24" s="88"/>
      <c r="O24" s="284"/>
      <c r="P24" s="284"/>
      <c r="Q24" s="284"/>
      <c r="R24" s="284"/>
      <c r="S24" s="284"/>
    </row>
    <row r="25" spans="2:19" ht="4.5" customHeight="1">
      <c r="B25" s="100"/>
      <c r="C25" s="100"/>
      <c r="D25" s="100"/>
      <c r="E25" s="100"/>
      <c r="F25" s="100"/>
      <c r="G25" s="100"/>
      <c r="H25" s="100"/>
      <c r="I25" s="88"/>
      <c r="J25" s="99"/>
      <c r="K25" s="99"/>
      <c r="L25" s="99"/>
      <c r="M25" s="99"/>
      <c r="N25" s="88"/>
      <c r="O25" s="100"/>
      <c r="P25" s="100"/>
      <c r="Q25" s="100"/>
      <c r="R25" s="100"/>
      <c r="S25" s="100"/>
    </row>
    <row r="26" spans="2:19" ht="15.75" customHeight="1">
      <c r="B26" s="284" t="str">
        <f>'Liquidacion Ingrid Soto'!B24</f>
        <v>Colación</v>
      </c>
      <c r="C26" s="284"/>
      <c r="D26" s="284"/>
      <c r="E26" s="284"/>
      <c r="F26" s="284"/>
      <c r="G26" s="284"/>
      <c r="H26" s="284"/>
      <c r="I26" s="88"/>
      <c r="J26" s="286">
        <f>'Liquidacion Ingrid Soto'!C24</f>
        <v>80000</v>
      </c>
      <c r="K26" s="286"/>
      <c r="L26" s="286"/>
      <c r="M26" s="286"/>
      <c r="N26" s="88"/>
      <c r="O26" s="100"/>
      <c r="P26" s="100"/>
      <c r="Q26" s="100"/>
      <c r="R26" s="100"/>
      <c r="S26" s="100"/>
    </row>
    <row r="27" spans="2:19" ht="6" customHeight="1">
      <c r="B27" s="100"/>
      <c r="C27" s="100"/>
      <c r="D27" s="100"/>
      <c r="E27" s="100"/>
      <c r="F27" s="100"/>
      <c r="G27" s="100"/>
      <c r="H27" s="100"/>
      <c r="I27" s="88"/>
      <c r="J27" s="99"/>
      <c r="K27" s="99"/>
      <c r="L27" s="99"/>
      <c r="M27" s="99"/>
      <c r="N27" s="88"/>
      <c r="O27" s="100"/>
      <c r="P27" s="100"/>
      <c r="Q27" s="100"/>
      <c r="R27" s="100"/>
      <c r="S27" s="100"/>
    </row>
    <row r="28" spans="2:19" ht="15.6" customHeight="1">
      <c r="B28" s="284" t="str">
        <f>'Liquidacion Ingrid Soto'!B25</f>
        <v>Movilización</v>
      </c>
      <c r="C28" s="284"/>
      <c r="D28" s="284"/>
      <c r="E28" s="284"/>
      <c r="F28" s="284"/>
      <c r="G28" s="284"/>
      <c r="H28" s="284"/>
      <c r="I28" s="88"/>
      <c r="J28" s="286">
        <f>'Liquidacion Ingrid Soto'!C25</f>
        <v>65998</v>
      </c>
      <c r="K28" s="286"/>
      <c r="L28" s="286"/>
      <c r="M28" s="286"/>
      <c r="N28" s="88"/>
      <c r="O28" s="100"/>
      <c r="P28" s="100"/>
      <c r="Q28" s="100"/>
      <c r="R28" s="100"/>
      <c r="S28" s="100"/>
    </row>
    <row r="29" spans="2:19" ht="4.3499999999999996" customHeight="1">
      <c r="B29" s="100"/>
      <c r="C29" s="100"/>
      <c r="D29" s="100"/>
      <c r="E29" s="100"/>
      <c r="F29" s="100"/>
      <c r="G29" s="100"/>
      <c r="H29" s="100"/>
      <c r="I29" s="88"/>
      <c r="J29" s="99"/>
      <c r="K29" s="99"/>
      <c r="L29" s="99"/>
      <c r="M29" s="99"/>
      <c r="N29" s="88"/>
      <c r="O29" s="100"/>
      <c r="P29" s="100"/>
      <c r="Q29" s="100"/>
      <c r="R29" s="100"/>
      <c r="S29" s="100"/>
    </row>
    <row r="30" spans="2:19" ht="15.6" customHeight="1">
      <c r="B30" s="284" t="str">
        <f>'Liquidacion Ingrid Soto'!B11</f>
        <v>Comision Ventas</v>
      </c>
      <c r="C30" s="284"/>
      <c r="D30" s="284"/>
      <c r="E30" s="284"/>
      <c r="F30" s="284"/>
      <c r="G30" s="284"/>
      <c r="H30" s="284"/>
      <c r="I30" s="88"/>
      <c r="J30" s="286">
        <f>'Liquidacion Ingrid Soto'!C11</f>
        <v>657684</v>
      </c>
      <c r="K30" s="286"/>
      <c r="L30" s="286"/>
      <c r="M30" s="286"/>
      <c r="N30" s="88"/>
      <c r="O30" s="100"/>
      <c r="P30" s="100"/>
      <c r="Q30" s="100"/>
      <c r="R30" s="100"/>
      <c r="S30" s="100"/>
    </row>
    <row r="31" spans="2:19" ht="8.4499999999999993" customHeight="1">
      <c r="B31" s="100"/>
      <c r="C31" s="100"/>
      <c r="D31" s="100"/>
      <c r="E31" s="100"/>
      <c r="F31" s="100"/>
      <c r="G31" s="100"/>
      <c r="H31" s="100"/>
      <c r="I31" s="88"/>
      <c r="J31" s="99"/>
      <c r="K31" s="99"/>
      <c r="L31" s="99"/>
      <c r="M31" s="99"/>
      <c r="N31" s="88"/>
      <c r="O31" s="100"/>
      <c r="P31" s="100"/>
      <c r="Q31" s="100"/>
      <c r="R31" s="100"/>
      <c r="S31" s="100"/>
    </row>
    <row r="32" spans="2:19" ht="15.6" customHeight="1">
      <c r="B32" s="284" t="str">
        <f>'Liquidacion Ingrid Soto'!B12</f>
        <v>Bono Responsabilidad</v>
      </c>
      <c r="C32" s="284"/>
      <c r="D32" s="284"/>
      <c r="E32" s="284"/>
      <c r="F32" s="284"/>
      <c r="G32" s="284"/>
      <c r="H32" s="284"/>
      <c r="I32" s="88"/>
      <c r="J32" s="286">
        <f>'Liquidacion Ingrid Soto'!C12</f>
        <v>57300</v>
      </c>
      <c r="K32" s="286"/>
      <c r="L32" s="286"/>
      <c r="M32" s="286"/>
      <c r="N32" s="88"/>
      <c r="O32" s="100"/>
      <c r="P32" s="100"/>
      <c r="Q32" s="100"/>
      <c r="R32" s="100"/>
      <c r="S32" s="100"/>
    </row>
    <row r="33" spans="2:19" ht="14.25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2:19" ht="18.75">
      <c r="B34" s="90" t="s">
        <v>118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</row>
    <row r="35" spans="2:19" ht="6.75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</row>
    <row r="36" spans="2:19" ht="15.75" customHeight="1">
      <c r="B36" s="284" t="str">
        <f>'Liquidacion Ingrid Soto'!C6</f>
        <v>Provida</v>
      </c>
      <c r="C36" s="284"/>
      <c r="D36" s="284"/>
      <c r="E36" s="284"/>
      <c r="F36" s="284"/>
      <c r="G36" s="284"/>
      <c r="H36" s="284"/>
      <c r="I36" s="88"/>
      <c r="J36" s="284"/>
      <c r="K36" s="284"/>
      <c r="L36" s="284"/>
      <c r="M36" s="284"/>
      <c r="N36" s="88"/>
      <c r="O36" s="286">
        <f>'Liquidacion Ingrid Soto'!E8</f>
        <v>142827</v>
      </c>
      <c r="P36" s="286"/>
      <c r="Q36" s="286"/>
      <c r="R36" s="286"/>
      <c r="S36" s="286"/>
    </row>
    <row r="37" spans="2:19" ht="6" customHeight="1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  <c r="P37" s="89"/>
      <c r="Q37" s="89"/>
      <c r="R37" s="89"/>
      <c r="S37" s="89"/>
    </row>
    <row r="38" spans="2:19" ht="15.75" customHeight="1">
      <c r="B38" s="284" t="str">
        <f>'Liquidacion Ingrid Soto'!D9</f>
        <v>FONASA</v>
      </c>
      <c r="C38" s="284"/>
      <c r="D38" s="284"/>
      <c r="E38" s="284"/>
      <c r="F38" s="284"/>
      <c r="G38" s="284"/>
      <c r="H38" s="284"/>
      <c r="I38" s="88"/>
      <c r="J38" s="284"/>
      <c r="K38" s="284"/>
      <c r="L38" s="284"/>
      <c r="M38" s="284"/>
      <c r="N38" s="88"/>
      <c r="O38" s="286">
        <f>'Liquidacion Ingrid Soto'!E9</f>
        <v>87318</v>
      </c>
      <c r="P38" s="286"/>
      <c r="Q38" s="286"/>
      <c r="R38" s="286"/>
      <c r="S38" s="286"/>
    </row>
    <row r="39" spans="2:19" ht="5.0999999999999996" customHeight="1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9"/>
      <c r="P39" s="89"/>
      <c r="Q39" s="89"/>
      <c r="R39" s="89"/>
      <c r="S39" s="89"/>
    </row>
    <row r="40" spans="2:19" ht="15" customHeight="1">
      <c r="B40" s="284" t="str">
        <f>'Liquidacion Ingrid Soto'!D11</f>
        <v>Impuesto Unico</v>
      </c>
      <c r="C40" s="284"/>
      <c r="D40" s="284"/>
      <c r="E40" s="284"/>
      <c r="F40" s="284"/>
      <c r="G40" s="284"/>
      <c r="H40" s="284"/>
      <c r="I40" s="88"/>
      <c r="J40" s="284"/>
      <c r="K40" s="284"/>
      <c r="L40" s="284"/>
      <c r="M40" s="284"/>
      <c r="N40" s="88"/>
      <c r="O40" s="286">
        <f>'Liquidacion Ingrid Soto'!E11</f>
        <v>9609</v>
      </c>
      <c r="P40" s="286"/>
      <c r="Q40" s="286"/>
      <c r="R40" s="286"/>
      <c r="S40" s="286"/>
    </row>
    <row r="41" spans="2:19" ht="6" customHeight="1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2:19" ht="15.75" customHeight="1">
      <c r="B42" s="284" t="str">
        <f>'Liquidacion Ingrid Soto'!D12</f>
        <v>Seg. Cesantia (0,6 %)</v>
      </c>
      <c r="C42" s="284"/>
      <c r="D42" s="284"/>
      <c r="E42" s="284"/>
      <c r="F42" s="284"/>
      <c r="G42" s="284"/>
      <c r="H42" s="284"/>
      <c r="I42" s="88"/>
      <c r="J42" s="284"/>
      <c r="K42" s="284"/>
      <c r="L42" s="284"/>
      <c r="M42" s="284"/>
      <c r="N42" s="88"/>
      <c r="O42" s="286">
        <f>'Liquidacion Ingrid Soto'!E12</f>
        <v>0</v>
      </c>
      <c r="P42" s="286"/>
      <c r="Q42" s="286"/>
      <c r="R42" s="286"/>
      <c r="S42" s="286"/>
    </row>
    <row r="43" spans="2:19" ht="9" customHeight="1"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</row>
    <row r="44" spans="2:19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</row>
    <row r="45" spans="2:19" ht="18" customHeight="1">
      <c r="B45" s="88"/>
      <c r="C45" s="88"/>
      <c r="D45" s="88"/>
      <c r="E45" s="88"/>
      <c r="F45" s="88"/>
      <c r="G45" s="88"/>
      <c r="H45" s="88"/>
      <c r="I45" s="88"/>
      <c r="J45" s="286">
        <f>'Liquidacion Ingrid Soto'!C27</f>
        <v>1393398.6666666665</v>
      </c>
      <c r="K45" s="286"/>
      <c r="L45" s="286"/>
      <c r="M45" s="286"/>
      <c r="N45" s="88"/>
      <c r="O45" s="88"/>
      <c r="P45" s="286">
        <f>'Liquidacion Ingrid Soto'!E19</f>
        <v>239754</v>
      </c>
      <c r="Q45" s="286"/>
      <c r="R45" s="286"/>
      <c r="S45" s="286"/>
    </row>
    <row r="46" spans="2:19" ht="3" customHeight="1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</row>
    <row r="47" spans="2:19" ht="6.75" customHeight="1">
      <c r="B47" s="284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88"/>
      <c r="O47" s="284"/>
      <c r="P47" s="284"/>
      <c r="Q47" s="284"/>
      <c r="R47" s="284"/>
      <c r="S47" s="284"/>
    </row>
    <row r="48" spans="2:19">
      <c r="B48" s="88"/>
      <c r="C48" s="88"/>
      <c r="D48" s="88"/>
      <c r="E48" s="88"/>
      <c r="F48" s="88"/>
      <c r="G48" s="88"/>
      <c r="H48" s="88"/>
      <c r="I48" s="88"/>
      <c r="J48" s="286">
        <f>'Liquidacion Ingrid Soto'!E29</f>
        <v>1153644.6666666665</v>
      </c>
      <c r="K48" s="286"/>
      <c r="L48" s="286"/>
      <c r="M48" s="286"/>
      <c r="N48" s="286"/>
      <c r="O48" s="286"/>
      <c r="P48" s="286"/>
      <c r="Q48" s="286"/>
      <c r="R48" s="286"/>
      <c r="S48" s="286"/>
    </row>
    <row r="49" spans="2:19" ht="16.5" customHeight="1"/>
    <row r="50" spans="2:19" ht="15.75" customHeight="1">
      <c r="O50" s="285"/>
      <c r="P50" s="285"/>
      <c r="R50" s="285"/>
      <c r="S50" s="285"/>
    </row>
    <row r="51" spans="2:19" ht="6.75" customHeight="1"/>
    <row r="52" spans="2:19" ht="16.5" customHeight="1">
      <c r="B52" s="285"/>
      <c r="C52" s="285"/>
      <c r="D52" s="285"/>
      <c r="E52" s="285"/>
      <c r="O52" s="285"/>
      <c r="P52" s="285"/>
      <c r="Q52" s="285"/>
      <c r="R52" s="285"/>
      <c r="S52" s="285"/>
    </row>
  </sheetData>
  <mergeCells count="44">
    <mergeCell ref="J48:S48"/>
    <mergeCell ref="O50:P50"/>
    <mergeCell ref="R50:S50"/>
    <mergeCell ref="B52:E52"/>
    <mergeCell ref="O52:S52"/>
    <mergeCell ref="B47:M47"/>
    <mergeCell ref="O47:S47"/>
    <mergeCell ref="O36:S36"/>
    <mergeCell ref="B38:H38"/>
    <mergeCell ref="J38:M38"/>
    <mergeCell ref="O38:S38"/>
    <mergeCell ref="B40:H40"/>
    <mergeCell ref="J40:M40"/>
    <mergeCell ref="O40:S40"/>
    <mergeCell ref="B42:H42"/>
    <mergeCell ref="J42:M42"/>
    <mergeCell ref="O42:S42"/>
    <mergeCell ref="J45:M45"/>
    <mergeCell ref="P45:S45"/>
    <mergeCell ref="B30:H30"/>
    <mergeCell ref="J30:M30"/>
    <mergeCell ref="B32:H32"/>
    <mergeCell ref="J32:M32"/>
    <mergeCell ref="B36:H36"/>
    <mergeCell ref="J36:M36"/>
    <mergeCell ref="B28:H28"/>
    <mergeCell ref="J28:M28"/>
    <mergeCell ref="B15:F15"/>
    <mergeCell ref="H15:M15"/>
    <mergeCell ref="O15:S15"/>
    <mergeCell ref="B22:H22"/>
    <mergeCell ref="J22:M22"/>
    <mergeCell ref="O22:S22"/>
    <mergeCell ref="B24:H24"/>
    <mergeCell ref="J24:M24"/>
    <mergeCell ref="O24:S24"/>
    <mergeCell ref="B26:H26"/>
    <mergeCell ref="J26:M26"/>
    <mergeCell ref="D11:H11"/>
    <mergeCell ref="R3:S3"/>
    <mergeCell ref="C8:H8"/>
    <mergeCell ref="B9:C9"/>
    <mergeCell ref="D9:J9"/>
    <mergeCell ref="F10:J10"/>
  </mergeCells>
  <pageMargins left="0.19685039370078741" right="0.19685039370078741" top="0.19685039370078741" bottom="0.19685039370078741" header="0" footer="0"/>
  <pageSetup paperSize="119" scale="9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433-5EC2-4F4C-9FB7-49AC71DEAFB8}">
  <dimension ref="A2:N29"/>
  <sheetViews>
    <sheetView workbookViewId="0">
      <selection activeCell="C14" sqref="C14"/>
    </sheetView>
  </sheetViews>
  <sheetFormatPr baseColWidth="10" defaultColWidth="11.42578125" defaultRowHeight="15"/>
  <cols>
    <col min="2" max="2" width="14.42578125" bestFit="1" customWidth="1"/>
    <col min="14" max="14" width="12.140625" bestFit="1" customWidth="1"/>
  </cols>
  <sheetData>
    <row r="2" spans="1:14">
      <c r="C2" t="s">
        <v>53</v>
      </c>
    </row>
    <row r="3" spans="1:14">
      <c r="A3" t="s">
        <v>54</v>
      </c>
      <c r="B3" t="s">
        <v>55</v>
      </c>
      <c r="C3" t="s">
        <v>11</v>
      </c>
      <c r="D3" t="s">
        <v>50</v>
      </c>
      <c r="E3" t="s">
        <v>56</v>
      </c>
      <c r="F3" t="s">
        <v>15</v>
      </c>
      <c r="G3" t="s">
        <v>57</v>
      </c>
    </row>
    <row r="4" spans="1:14">
      <c r="A4" t="s">
        <v>58</v>
      </c>
      <c r="B4" t="s">
        <v>59</v>
      </c>
      <c r="C4" s="93" t="e">
        <f>+#REF!+#REF!</f>
        <v>#REF!</v>
      </c>
      <c r="D4" s="95" t="e">
        <f>+#REF!</f>
        <v>#REF!</v>
      </c>
      <c r="E4" s="93" t="e">
        <f>+#REF!</f>
        <v>#REF!</v>
      </c>
      <c r="F4" s="95" t="e">
        <f>+#REF!</f>
        <v>#REF!</v>
      </c>
      <c r="G4" s="93" t="e">
        <f>+#REF!</f>
        <v>#REF!</v>
      </c>
    </row>
    <row r="5" spans="1:14">
      <c r="B5" t="s">
        <v>60</v>
      </c>
      <c r="C5" s="93" t="e">
        <f>+#REF!+#REF!</f>
        <v>#REF!</v>
      </c>
      <c r="D5" s="95" t="e">
        <f>+#REF!</f>
        <v>#REF!</v>
      </c>
      <c r="E5" s="93" t="e">
        <f>+#REF!</f>
        <v>#REF!</v>
      </c>
      <c r="F5" s="93" t="e">
        <f>+#REF!+#REF!</f>
        <v>#REF!</v>
      </c>
      <c r="G5" s="93" t="e">
        <f>+#REF!</f>
        <v>#REF!</v>
      </c>
    </row>
    <row r="6" spans="1:14">
      <c r="B6" t="s">
        <v>61</v>
      </c>
      <c r="C6" s="93" t="e">
        <f>+#REF!+#REF!</f>
        <v>#REF!</v>
      </c>
      <c r="D6" s="95" t="e">
        <f>+#REF!</f>
        <v>#REF!</v>
      </c>
      <c r="E6" s="93" t="e">
        <f>+#REF!</f>
        <v>#REF!</v>
      </c>
      <c r="F6" s="93" t="e">
        <f>+#REF!+#REF!</f>
        <v>#REF!</v>
      </c>
      <c r="G6" s="93" t="e">
        <f>+#REF!</f>
        <v>#REF!</v>
      </c>
    </row>
    <row r="7" spans="1:14">
      <c r="C7" s="94" t="e">
        <f>SUM(C4:C6)</f>
        <v>#REF!</v>
      </c>
      <c r="D7" s="96" t="e">
        <f t="shared" ref="D7:G7" si="0">SUM(D4:D6)</f>
        <v>#REF!</v>
      </c>
      <c r="E7" s="94" t="e">
        <f>SUM(E4:E6)</f>
        <v>#REF!</v>
      </c>
      <c r="F7" s="94" t="e">
        <f t="shared" si="0"/>
        <v>#REF!</v>
      </c>
      <c r="G7" s="94" t="e">
        <f t="shared" si="0"/>
        <v>#REF!</v>
      </c>
    </row>
    <row r="8" spans="1:14">
      <c r="N8" s="82">
        <v>0.25</v>
      </c>
    </row>
    <row r="9" spans="1:14">
      <c r="B9" t="s">
        <v>62</v>
      </c>
      <c r="C9" s="94" t="e">
        <f>+SUM(C4:C6)+SUM(D4:D6)+SUM(F4:F6)+SUM(G4:G6)</f>
        <v>#REF!</v>
      </c>
    </row>
    <row r="10" spans="1:14">
      <c r="M10">
        <v>1457550</v>
      </c>
      <c r="N10" s="93">
        <f>+M10*N8</f>
        <v>364387.5</v>
      </c>
    </row>
    <row r="11" spans="1:14">
      <c r="B11" t="s">
        <v>63</v>
      </c>
    </row>
    <row r="12" spans="1:14">
      <c r="B12" s="4" t="s">
        <v>64</v>
      </c>
      <c r="C12" s="8" t="s">
        <v>11</v>
      </c>
      <c r="D12" s="8" t="s">
        <v>50</v>
      </c>
      <c r="E12" s="8" t="s">
        <v>15</v>
      </c>
      <c r="F12" s="8" t="s">
        <v>57</v>
      </c>
      <c r="G12" s="8" t="s">
        <v>56</v>
      </c>
      <c r="H12" s="8" t="s">
        <v>65</v>
      </c>
    </row>
    <row r="13" spans="1:14" hidden="1">
      <c r="B13" s="4" t="s">
        <v>66</v>
      </c>
      <c r="C13" s="119" t="e">
        <f>+#REF!+#REF!</f>
        <v>#REF!</v>
      </c>
      <c r="D13" s="119" t="e">
        <f>+#REF!</f>
        <v>#REF!</v>
      </c>
      <c r="E13" s="120" t="e">
        <f>+#REF!+#REF!</f>
        <v>#REF!</v>
      </c>
      <c r="F13" s="119" t="e">
        <f>+#REF!+#REF!</f>
        <v>#REF!</v>
      </c>
      <c r="G13" s="121" t="e">
        <f>+#REF!</f>
        <v>#REF!</v>
      </c>
      <c r="H13" s="4"/>
    </row>
    <row r="14" spans="1:14">
      <c r="B14" s="4" t="s">
        <v>67</v>
      </c>
      <c r="C14" s="119" t="e">
        <f>+#REF!+#REF!</f>
        <v>#REF!</v>
      </c>
      <c r="D14" s="119" t="e">
        <f>+#REF!</f>
        <v>#REF!</v>
      </c>
      <c r="E14" s="119" t="e">
        <f>+#REF!+#REF!</f>
        <v>#REF!</v>
      </c>
      <c r="F14" s="119" t="e">
        <f>+#REF!+#REF!</f>
        <v>#REF!</v>
      </c>
      <c r="G14" s="121" t="e">
        <f>+#REF!</f>
        <v>#REF!</v>
      </c>
      <c r="H14" s="122" t="e">
        <f>+SUM(C14:G14)</f>
        <v>#REF!</v>
      </c>
    </row>
    <row r="15" spans="1:14">
      <c r="B15" t="s">
        <v>68</v>
      </c>
      <c r="C15" s="103"/>
      <c r="D15" s="103"/>
      <c r="E15" s="104"/>
      <c r="F15" s="103"/>
      <c r="G15" s="93" t="e">
        <f>+#REF!</f>
        <v>#REF!</v>
      </c>
    </row>
    <row r="16" spans="1:14">
      <c r="B16" t="s">
        <v>69</v>
      </c>
      <c r="C16" s="103" t="e">
        <f>+#REF!+#REF!</f>
        <v>#REF!</v>
      </c>
      <c r="D16" s="103" t="e">
        <f>+#REF!</f>
        <v>#REF!</v>
      </c>
      <c r="E16" s="104" t="e">
        <f>+#REF!</f>
        <v>#REF!</v>
      </c>
      <c r="F16" s="103" t="e">
        <f>+#REF!+#REF!</f>
        <v>#REF!</v>
      </c>
      <c r="G16" s="93" t="e">
        <f>+#REF!</f>
        <v>#REF!</v>
      </c>
    </row>
    <row r="17" spans="2:9">
      <c r="B17" t="s">
        <v>70</v>
      </c>
      <c r="C17" s="103">
        <f>+'Liquidacion Veronica Lopez'!$E$8+'Liquidacion Veronica Lopez'!$D$34</f>
        <v>156684</v>
      </c>
      <c r="D17" s="103">
        <f>+'Liquidacion Veronica Lopez'!$D$33</f>
        <v>6671.9749999999995</v>
      </c>
      <c r="E17" s="104">
        <f>+'Liquidacion Veronica Lopez'!$E$9</f>
        <v>50219</v>
      </c>
      <c r="F17" s="103">
        <f>+'Liquidacion Veronica Lopez'!$E$12+'Liquidacion Veronica Lopez'!$D$32</f>
        <v>21522.499999999996</v>
      </c>
      <c r="G17" s="93">
        <f>+'Liquidacion Veronica Lopez'!$E$11</f>
        <v>0</v>
      </c>
    </row>
    <row r="18" spans="2:9">
      <c r="B18" t="s">
        <v>71</v>
      </c>
      <c r="C18" s="101" t="e">
        <f>SUM(C13:C17)</f>
        <v>#REF!</v>
      </c>
      <c r="D18" s="101" t="e">
        <f t="shared" ref="D18:G18" si="1">SUM(D13:D17)</f>
        <v>#REF!</v>
      </c>
      <c r="E18" s="101" t="e">
        <f t="shared" si="1"/>
        <v>#REF!</v>
      </c>
      <c r="F18" s="101" t="e">
        <f t="shared" si="1"/>
        <v>#REF!</v>
      </c>
      <c r="G18" s="101" t="e">
        <f t="shared" si="1"/>
        <v>#REF!</v>
      </c>
    </row>
    <row r="20" spans="2:9">
      <c r="B20" t="s">
        <v>62</v>
      </c>
      <c r="C20" s="94" t="e">
        <f>+SUM(C18:F18)</f>
        <v>#REF!</v>
      </c>
    </row>
    <row r="21" spans="2:9">
      <c r="B21" t="s">
        <v>72</v>
      </c>
      <c r="C21" s="94" t="e">
        <f>+G18</f>
        <v>#REF!</v>
      </c>
    </row>
    <row r="24" spans="2:9">
      <c r="I24">
        <f>133396*3</f>
        <v>400188</v>
      </c>
    </row>
    <row r="26" spans="2:9">
      <c r="B26" t="s">
        <v>73</v>
      </c>
      <c r="C26" s="102" t="e">
        <f>+SUM(C27:C29)</f>
        <v>#REF!</v>
      </c>
      <c r="F26" t="s">
        <v>74</v>
      </c>
      <c r="G26" s="102" t="e">
        <f>+SUM(G27:G29)</f>
        <v>#REF!</v>
      </c>
    </row>
    <row r="27" spans="2:9">
      <c r="B27" t="s">
        <v>75</v>
      </c>
      <c r="C27" s="102" t="e">
        <f>+ROUND(SUM(#REF!),0)</f>
        <v>#REF!</v>
      </c>
      <c r="F27" t="s">
        <v>75</v>
      </c>
      <c r="G27" s="102" t="e">
        <f>+#REF!</f>
        <v>#REF!</v>
      </c>
    </row>
    <row r="28" spans="2:9">
      <c r="B28" t="s">
        <v>76</v>
      </c>
      <c r="C28" s="102" t="e">
        <f>+ROUND(SUM(#REF!),0)</f>
        <v>#REF!</v>
      </c>
      <c r="F28" t="s">
        <v>76</v>
      </c>
      <c r="G28" s="102" t="e">
        <f>+#REF!</f>
        <v>#REF!</v>
      </c>
    </row>
    <row r="29" spans="2:9">
      <c r="B29" t="s">
        <v>77</v>
      </c>
      <c r="C29" s="102">
        <f>+ROUND(SUM('Liquidacion Veronica Lopez'!D32:D34),0)</f>
        <v>28194</v>
      </c>
      <c r="F29" t="s">
        <v>77</v>
      </c>
      <c r="G29" s="102">
        <f>+'Liquidacion Veronica Lopez'!C8</f>
        <v>567000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D2AC-7DFE-49C0-A322-6910511570E6}">
  <dimension ref="B1:T55"/>
  <sheetViews>
    <sheetView workbookViewId="0">
      <selection activeCell="E19" sqref="E19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10.140625" bestFit="1" customWidth="1"/>
    <col min="7" max="7" width="11" bestFit="1" customWidth="1"/>
    <col min="8" max="8" width="9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tr">
        <f>+J10</f>
        <v>JULIO</v>
      </c>
      <c r="C1" s="2" t="str">
        <f>+CONCATENATE(B1," ",D1)</f>
        <v>JULIO 2022</v>
      </c>
      <c r="D1">
        <f>+'Impto Unico'!C1</f>
        <v>2022</v>
      </c>
    </row>
    <row r="3" spans="2:14">
      <c r="B3" s="4" t="s">
        <v>1</v>
      </c>
      <c r="C3" s="151">
        <v>30</v>
      </c>
      <c r="D3" t="s">
        <v>93</v>
      </c>
      <c r="E3" s="3">
        <v>380000</v>
      </c>
      <c r="F3" t="s">
        <v>142</v>
      </c>
      <c r="G3" s="145">
        <v>350000</v>
      </c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D4" t="s">
        <v>96</v>
      </c>
      <c r="E4" s="73">
        <v>0</v>
      </c>
      <c r="F4" s="6" t="s">
        <v>143</v>
      </c>
      <c r="G4" s="145">
        <f>45*4</f>
        <v>180</v>
      </c>
      <c r="I4" s="4"/>
      <c r="J4" s="7">
        <v>81.599999999999994</v>
      </c>
      <c r="K4" s="7">
        <v>122.6</v>
      </c>
      <c r="L4" s="7">
        <f>+J4</f>
        <v>81.599999999999994</v>
      </c>
      <c r="M4" s="142"/>
      <c r="N4" s="4"/>
    </row>
    <row r="5" spans="2:14">
      <c r="B5" s="4" t="s">
        <v>9</v>
      </c>
      <c r="C5" s="10" t="s">
        <v>10</v>
      </c>
      <c r="E5" s="3">
        <f>+ROUND(E4*I6,0)</f>
        <v>0</v>
      </c>
      <c r="F5" t="s">
        <v>144</v>
      </c>
      <c r="G5" s="146">
        <f>G4*60</f>
        <v>10800</v>
      </c>
      <c r="I5" s="4"/>
      <c r="J5" s="4"/>
      <c r="K5" s="4"/>
      <c r="L5" s="11">
        <f>L4*7%</f>
        <v>5.7119999999999997</v>
      </c>
      <c r="M5" s="143">
        <f>(C8+C12+C11)*25%</f>
        <v>95000</v>
      </c>
      <c r="N5" s="4"/>
    </row>
    <row r="6" spans="2:14">
      <c r="B6" s="4" t="s">
        <v>11</v>
      </c>
      <c r="C6" s="12" t="s">
        <v>136</v>
      </c>
      <c r="D6" s="82">
        <v>7.0000000000000007E-2</v>
      </c>
      <c r="E6" s="3">
        <f>+C19*D6</f>
        <v>33250</v>
      </c>
      <c r="F6" t="s">
        <v>145</v>
      </c>
      <c r="G6" s="147">
        <f>G3/G5</f>
        <v>32.407407407407405</v>
      </c>
      <c r="I6" s="13">
        <f>+'Impto Unico'!L2</f>
        <v>33417.26</v>
      </c>
      <c r="J6" s="14">
        <f>+J4*$I$6</f>
        <v>2726848.4160000002</v>
      </c>
      <c r="K6" s="14">
        <f>K4*$I$6</f>
        <v>4096956.0759999999</v>
      </c>
      <c r="L6" s="15">
        <f>L5*I6</f>
        <v>190879.38912000001</v>
      </c>
      <c r="M6" s="14">
        <f>(380000*4.75)*(1/12)</f>
        <v>150416.66666666666</v>
      </c>
      <c r="N6" s="16">
        <f>C19-E8-IF((E9+E10)&lt;L6,(E9+E10),L6)-E12-E15-E16</f>
        <v>385890</v>
      </c>
    </row>
    <row r="7" spans="2:14" ht="15.75" thickBot="1">
      <c r="C7" s="17"/>
      <c r="D7" s="18"/>
      <c r="F7" t="s">
        <v>146</v>
      </c>
      <c r="G7" s="146">
        <f>60+27</f>
        <v>87</v>
      </c>
      <c r="I7" s="19"/>
      <c r="J7" s="20"/>
      <c r="K7" s="20"/>
      <c r="L7" s="21"/>
      <c r="M7" s="20"/>
      <c r="N7" s="17"/>
    </row>
    <row r="8" spans="2:14">
      <c r="B8" s="22" t="s">
        <v>13</v>
      </c>
      <c r="C8" s="131">
        <f>E3</f>
        <v>380000</v>
      </c>
      <c r="D8" s="152" t="str">
        <f>C6</f>
        <v>PlanVital</v>
      </c>
      <c r="E8" s="23">
        <f>ROUND(IF(C19&lt;J6,C19*J24,J6*J24),0)</f>
        <v>53010</v>
      </c>
      <c r="G8" s="146">
        <f>G5-G7</f>
        <v>10713</v>
      </c>
      <c r="I8" s="149"/>
      <c r="J8" s="141"/>
    </row>
    <row r="9" spans="2:14">
      <c r="B9" s="24" t="s">
        <v>14</v>
      </c>
      <c r="C9" s="17">
        <f>IF(M5&lt;M6,M5,M6)</f>
        <v>95000</v>
      </c>
      <c r="D9" s="24" t="str">
        <f>D4</f>
        <v>FONASA</v>
      </c>
      <c r="E9" s="25">
        <f>+ROUND(IF(L6&lt;=E6,L6,E6),0)</f>
        <v>33250</v>
      </c>
      <c r="G9" s="148">
        <f>G8*G6</f>
        <v>347180.5555555555</v>
      </c>
      <c r="H9" s="74"/>
    </row>
    <row r="10" spans="2:14">
      <c r="B10" s="24"/>
      <c r="C10" s="31"/>
      <c r="D10" s="24" t="s">
        <v>16</v>
      </c>
      <c r="E10" s="26">
        <v>0</v>
      </c>
      <c r="G10">
        <f>G8/60</f>
        <v>178.55</v>
      </c>
      <c r="H10" s="150">
        <f>G10*H11/G11</f>
        <v>29.758333333333333</v>
      </c>
      <c r="J10" s="1" t="str">
        <f>+'Impto Unico'!B1</f>
        <v>JULIO</v>
      </c>
      <c r="K10" t="s">
        <v>18</v>
      </c>
    </row>
    <row r="11" spans="2:14">
      <c r="B11" s="24"/>
      <c r="C11" s="31">
        <v>0</v>
      </c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0</v>
      </c>
      <c r="G11">
        <v>180</v>
      </c>
      <c r="H11">
        <v>30</v>
      </c>
      <c r="I11" s="27" t="s">
        <v>20</v>
      </c>
      <c r="J11" s="28">
        <f>+'Impto Unico'!C2</f>
        <v>777019.5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>
      <c r="B12" s="24"/>
      <c r="C12" s="31">
        <v>0</v>
      </c>
      <c r="D12" s="24" t="s">
        <v>98</v>
      </c>
      <c r="E12" s="25">
        <f>ROUND(IF(C5="INDEFINIDO",(IF(C19&gt;$K$6,($K$6*$M$22),($C$19*M22))),0),0)</f>
        <v>2850</v>
      </c>
      <c r="H12" s="56"/>
      <c r="I12" s="27"/>
      <c r="J12" s="28">
        <f>+'Impto Unico'!C3</f>
        <v>777019.51</v>
      </c>
      <c r="K12" s="28">
        <f>+'Impto Unico'!D3</f>
        <v>1726710</v>
      </c>
      <c r="L12" s="28">
        <f>+'Impto Unico'!E3</f>
        <v>0.04</v>
      </c>
      <c r="M12" s="28">
        <f>+'Impto Unico'!F3</f>
        <v>31080.78</v>
      </c>
      <c r="N12" s="28">
        <f>+'Impto Unico'!G3</f>
        <v>2.1999999999999999E-2</v>
      </c>
    </row>
    <row r="13" spans="2:14">
      <c r="B13" s="24"/>
      <c r="C13" s="31">
        <v>0</v>
      </c>
      <c r="D13" s="24" t="s">
        <v>26</v>
      </c>
      <c r="E13" s="31">
        <v>0</v>
      </c>
      <c r="I13" s="27"/>
      <c r="J13" s="28">
        <f>+'Impto Unico'!C4</f>
        <v>1726710.01</v>
      </c>
      <c r="K13" s="28">
        <f>+'Impto Unico'!D4</f>
        <v>2877850</v>
      </c>
      <c r="L13" s="28">
        <f>+'Impto Unico'!E4</f>
        <v>0.08</v>
      </c>
      <c r="M13" s="28">
        <f>+'Impto Unico'!F4</f>
        <v>100149.18</v>
      </c>
      <c r="N13" s="28">
        <f>+'Impto Unico'!G4</f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f>+'Impto Unico'!C5</f>
        <v>2877850.01</v>
      </c>
      <c r="K14" s="28">
        <f>+'Impto Unico'!D5</f>
        <v>4028990</v>
      </c>
      <c r="L14" s="28">
        <f>+'Impto Unico'!E5</f>
        <v>0.13500000000000001</v>
      </c>
      <c r="M14" s="28">
        <f>+'Impto Unico'!F5</f>
        <v>258430.93</v>
      </c>
      <c r="N14" s="28">
        <f>+'Impto Unico'!G5</f>
        <v>7.0900000000000005E-2</v>
      </c>
    </row>
    <row r="15" spans="2:14">
      <c r="B15" s="24"/>
      <c r="C15" s="25"/>
      <c r="D15" s="24" t="s">
        <v>28</v>
      </c>
      <c r="E15" s="31"/>
      <c r="G15" s="141">
        <f>C19*J24</f>
        <v>53010</v>
      </c>
      <c r="I15" s="27"/>
      <c r="J15" s="28">
        <f>+'Impto Unico'!C6</f>
        <v>4028990.01</v>
      </c>
      <c r="K15" s="28">
        <f>+'Impto Unico'!D6</f>
        <v>5180130</v>
      </c>
      <c r="L15" s="28">
        <f>+'Impto Unico'!E6</f>
        <v>0.23</v>
      </c>
      <c r="M15" s="28">
        <f>+'Impto Unico'!F6</f>
        <v>641184.98</v>
      </c>
      <c r="N15" s="28">
        <f>+'Impto Unico'!G6</f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f>+'Impto Unico'!C7</f>
        <v>5180130.01</v>
      </c>
      <c r="K16" s="28">
        <f>+'Impto Unico'!D7</f>
        <v>6906840</v>
      </c>
      <c r="L16" s="28">
        <f>+'Impto Unico'!E7</f>
        <v>0.30399999999999999</v>
      </c>
      <c r="M16" s="28">
        <f>+'Impto Unico'!F7</f>
        <v>1024514.6</v>
      </c>
      <c r="N16" s="28">
        <f>+'Impto Unico'!G7</f>
        <v>0.15570000000000001</v>
      </c>
    </row>
    <row r="17" spans="2:20">
      <c r="B17" s="24"/>
      <c r="C17" s="25"/>
      <c r="D17" s="24" t="s">
        <v>151</v>
      </c>
      <c r="E17" s="25">
        <v>0</v>
      </c>
      <c r="I17" s="27"/>
      <c r="J17" s="28">
        <f>+'Impto Unico'!C8</f>
        <v>6906840.0099999998</v>
      </c>
      <c r="K17" s="28">
        <f>+'Impto Unico'!D8</f>
        <v>8633550</v>
      </c>
      <c r="L17" s="28">
        <f>+'Impto Unico'!E8</f>
        <v>0.35</v>
      </c>
      <c r="M17" s="28">
        <f>+'Impto Unico'!F8</f>
        <v>1342229.24</v>
      </c>
      <c r="N17" s="28">
        <f>+'Impto Unico'!G8</f>
        <v>0.19450000000000001</v>
      </c>
    </row>
    <row r="18" spans="2:20">
      <c r="B18" s="24"/>
      <c r="C18" s="25"/>
      <c r="D18" s="24"/>
      <c r="E18" s="25"/>
      <c r="I18" s="27"/>
      <c r="J18" s="28">
        <f>+'Impto Unico'!C9</f>
        <v>8633550.0099999998</v>
      </c>
      <c r="K18" s="28" t="str">
        <f>+'Impto Unico'!D9</f>
        <v>Y MÁS</v>
      </c>
      <c r="L18" s="28">
        <f>+'Impto Unico'!E9</f>
        <v>0.4</v>
      </c>
      <c r="M18" s="28">
        <f>+'Impto Unico'!F9</f>
        <v>1773906.74</v>
      </c>
      <c r="N18" s="28" t="str">
        <f>+'Impto Unico'!G9</f>
        <v>MÁS DE 19,45%</v>
      </c>
    </row>
    <row r="19" spans="2:20">
      <c r="B19" s="35" t="s">
        <v>33</v>
      </c>
      <c r="C19" s="36">
        <f>C8+C9+C12-C13+C10+C11</f>
        <v>475000</v>
      </c>
      <c r="D19" s="35" t="s">
        <v>34</v>
      </c>
      <c r="E19" s="37">
        <f>SUM(E8:E17)</f>
        <v>89110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99</v>
      </c>
      <c r="C24" s="25">
        <v>30000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>
      <c r="B25" s="24" t="s">
        <v>100</v>
      </c>
      <c r="C25" s="25">
        <v>30000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535000</v>
      </c>
      <c r="D27" s="48" t="s">
        <v>46</v>
      </c>
      <c r="E27" s="49">
        <f>C19-E19+C24+C25</f>
        <v>445890</v>
      </c>
      <c r="H27" s="74"/>
      <c r="I27" s="4" t="s">
        <v>101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I28" s="4" t="s">
        <v>95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</f>
        <v>445890</v>
      </c>
      <c r="I29" s="56"/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2.4E-2</v>
      </c>
      <c r="D32" s="16">
        <f>IF(C19&gt;$K$6,($K$6*$C$32),($C$19*C32))</f>
        <v>11400</v>
      </c>
      <c r="G32" s="6"/>
    </row>
    <row r="33" spans="2:10">
      <c r="B33" s="4" t="s">
        <v>123</v>
      </c>
      <c r="C33" s="39">
        <v>9.2999999999999992E-3</v>
      </c>
      <c r="D33" s="16">
        <f>IF(C19&lt;$J$6,C19*$C$33,$J$6*$C$33)</f>
        <v>4417.5</v>
      </c>
      <c r="E33" s="57"/>
      <c r="G33" s="6"/>
    </row>
    <row r="34" spans="2:10">
      <c r="B34" s="4" t="s">
        <v>51</v>
      </c>
      <c r="C34" s="39">
        <v>1.8599999999999998E-2</v>
      </c>
      <c r="D34" s="58">
        <f>IF(C19&lt;$J$6,C19*$C$34,$J$6*$C$34)</f>
        <v>8835</v>
      </c>
      <c r="E34" s="57"/>
      <c r="G34" s="6"/>
    </row>
    <row r="35" spans="2:10">
      <c r="B35" s="7" t="s">
        <v>52</v>
      </c>
      <c r="C35" s="7"/>
      <c r="D35" s="59">
        <f>C27+D32+D33+D34</f>
        <v>559652.5</v>
      </c>
      <c r="E35" s="60"/>
      <c r="G35" s="6"/>
      <c r="I35">
        <f>128/4</f>
        <v>32</v>
      </c>
    </row>
    <row r="36" spans="2:10">
      <c r="B36" s="61"/>
      <c r="C36" s="62"/>
      <c r="E36" s="17"/>
      <c r="G36" s="6"/>
    </row>
    <row r="37" spans="2:10">
      <c r="B37" s="61" t="s">
        <v>102</v>
      </c>
      <c r="C37" s="61" t="s">
        <v>157</v>
      </c>
      <c r="E37" s="17"/>
      <c r="G37" s="6"/>
    </row>
    <row r="38" spans="2:10">
      <c r="B38" t="s">
        <v>104</v>
      </c>
      <c r="C38" s="62" t="s">
        <v>158</v>
      </c>
      <c r="E38" s="17"/>
    </row>
    <row r="39" spans="2:10">
      <c r="B39" s="63" t="s">
        <v>106</v>
      </c>
      <c r="C39" s="62" t="s">
        <v>159</v>
      </c>
      <c r="E39" s="17"/>
    </row>
    <row r="40" spans="2:10">
      <c r="B40" t="s">
        <v>108</v>
      </c>
      <c r="C40" s="144" t="s">
        <v>160</v>
      </c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G44" s="102"/>
      <c r="H44" s="6"/>
      <c r="I44" s="17"/>
    </row>
    <row r="45" spans="2:10">
      <c r="B45" s="61"/>
      <c r="C45" s="69"/>
      <c r="D45" s="125"/>
      <c r="E45" s="17"/>
      <c r="G45" s="102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EAC9-4E23-47E8-94F8-E733AD85F4B6}">
  <sheetPr>
    <pageSetUpPr fitToPage="1"/>
  </sheetPr>
  <dimension ref="B3:S52"/>
  <sheetViews>
    <sheetView showGridLines="0" topLeftCell="A13" zoomScale="120" zoomScaleNormal="120" zoomScaleSheetLayoutView="90" workbookViewId="0">
      <selection activeCell="T32" sqref="T32"/>
    </sheetView>
  </sheetViews>
  <sheetFormatPr baseColWidth="10" defaultColWidth="11.42578125" defaultRowHeight="15"/>
  <cols>
    <col min="1" max="1" width="7.42578125" customWidth="1"/>
    <col min="2" max="2" width="7.140625" customWidth="1"/>
    <col min="3" max="3" width="2.7109375" customWidth="1"/>
    <col min="4" max="4" width="5.140625" customWidth="1"/>
    <col min="5" max="5" width="4.42578125" customWidth="1"/>
    <col min="6" max="6" width="8.7109375" customWidth="1"/>
    <col min="7" max="7" width="1.28515625" customWidth="1"/>
    <col min="8" max="8" width="7" customWidth="1"/>
    <col min="9" max="9" width="1.42578125" customWidth="1"/>
    <col min="10" max="10" width="4.140625" customWidth="1"/>
    <col min="11" max="11" width="1.7109375" customWidth="1"/>
    <col min="12" max="12" width="9.28515625" customWidth="1"/>
    <col min="13" max="13" width="4.7109375" customWidth="1"/>
    <col min="14" max="14" width="1.28515625" customWidth="1"/>
    <col min="15" max="15" width="1.42578125" customWidth="1"/>
    <col min="16" max="16" width="11.42578125" customWidth="1"/>
    <col min="17" max="17" width="0.7109375" customWidth="1"/>
    <col min="18" max="18" width="7.7109375" customWidth="1"/>
    <col min="19" max="19" width="6.28515625" customWidth="1"/>
    <col min="20" max="20" width="7" customWidth="1"/>
  </cols>
  <sheetData>
    <row r="3" spans="2:19" ht="18.75">
      <c r="J3" s="83"/>
      <c r="K3" s="83"/>
      <c r="L3" s="83"/>
      <c r="M3" s="83"/>
      <c r="R3" s="279" t="str">
        <f>+'Liquidacion Rolando Carrasco'!C1</f>
        <v>JULIO 2022</v>
      </c>
      <c r="S3" s="280"/>
    </row>
    <row r="6" spans="2:19" ht="18.75">
      <c r="B6" s="83" t="s">
        <v>110</v>
      </c>
      <c r="C6" s="83"/>
      <c r="D6" s="83"/>
      <c r="E6" s="83"/>
      <c r="F6" s="83"/>
      <c r="G6" s="83"/>
      <c r="H6" s="83"/>
      <c r="I6" s="83"/>
      <c r="J6" s="83"/>
      <c r="L6" s="83" t="s">
        <v>111</v>
      </c>
      <c r="M6" s="83"/>
    </row>
    <row r="8" spans="2:19" ht="18">
      <c r="B8" s="84"/>
      <c r="C8" s="277" t="str">
        <f>'Liquidacion Santana JN Francois'!C38</f>
        <v>25260221-6</v>
      </c>
      <c r="D8" s="278"/>
      <c r="E8" s="278"/>
      <c r="F8" s="278"/>
      <c r="G8" s="278"/>
      <c r="H8" s="278"/>
      <c r="I8" s="85"/>
      <c r="L8" s="86"/>
      <c r="M8" s="86"/>
      <c r="P8" s="91" t="s">
        <v>112</v>
      </c>
      <c r="S8" s="87"/>
    </row>
    <row r="9" spans="2:19" ht="16.5" customHeight="1">
      <c r="B9" s="281"/>
      <c r="C9" s="281"/>
      <c r="D9" s="282" t="str">
        <f>'Liquidacion Santana JN Francois'!C37</f>
        <v>Santana JR Francois</v>
      </c>
      <c r="E9" s="282"/>
      <c r="F9" s="282"/>
      <c r="G9" s="282"/>
      <c r="H9" s="282"/>
      <c r="I9" s="282"/>
      <c r="J9" s="282"/>
      <c r="L9" s="86"/>
      <c r="M9" s="91" t="s">
        <v>113</v>
      </c>
      <c r="O9" s="86"/>
      <c r="P9" s="86"/>
    </row>
    <row r="10" spans="2:19" ht="17.25" customHeight="1">
      <c r="B10" s="84"/>
      <c r="C10" s="84"/>
      <c r="D10" s="84"/>
      <c r="E10" s="84"/>
      <c r="F10" s="287" t="str">
        <f>'Liquidacion Santana JN Francois'!C40</f>
        <v>-</v>
      </c>
      <c r="G10" s="287"/>
      <c r="H10" s="287"/>
      <c r="I10" s="287"/>
      <c r="J10" s="287"/>
      <c r="L10" s="86"/>
      <c r="M10" s="86"/>
      <c r="N10" s="91" t="s">
        <v>114</v>
      </c>
      <c r="O10" s="86"/>
      <c r="P10" s="92"/>
    </row>
    <row r="11" spans="2:19" ht="16.5" customHeight="1">
      <c r="B11" s="84"/>
      <c r="C11" s="84"/>
      <c r="D11" s="277" t="str">
        <f>'Liquidacion Santana JN Francois'!C39</f>
        <v>Aseo</v>
      </c>
      <c r="E11" s="278"/>
      <c r="F11" s="278"/>
      <c r="G11" s="278"/>
      <c r="H11" s="278"/>
      <c r="L11" s="86"/>
      <c r="M11" s="91" t="s">
        <v>115</v>
      </c>
      <c r="O11" s="86"/>
      <c r="P11" s="86"/>
      <c r="Q11" s="86"/>
    </row>
    <row r="12" spans="2:19" ht="27" customHeight="1"/>
    <row r="13" spans="2:19" ht="19.5" customHeight="1"/>
    <row r="14" spans="2:19" ht="4.5" customHeight="1"/>
    <row r="15" spans="2:19" ht="18.75" customHeight="1">
      <c r="B15" s="284">
        <f>'Liquidacion Santana JN Francois'!C3</f>
        <v>30</v>
      </c>
      <c r="C15" s="284"/>
      <c r="D15" s="284"/>
      <c r="E15" s="284"/>
      <c r="F15" s="284"/>
      <c r="G15" s="52"/>
      <c r="H15" s="285"/>
      <c r="I15" s="285"/>
      <c r="J15" s="285"/>
      <c r="K15" s="285"/>
      <c r="L15" s="285"/>
      <c r="M15" s="285"/>
      <c r="O15" s="285"/>
      <c r="P15" s="285"/>
      <c r="Q15" s="285"/>
      <c r="R15" s="285"/>
      <c r="S15" s="285"/>
    </row>
    <row r="16" spans="2:19" ht="19.5" customHeight="1"/>
    <row r="18" spans="2:19" ht="16.5" customHeight="1"/>
    <row r="19" spans="2:19" ht="18.75" customHeight="1">
      <c r="Q19" t="s">
        <v>116</v>
      </c>
    </row>
    <row r="20" spans="2:19" ht="14.25" customHeight="1">
      <c r="B20" s="83" t="s">
        <v>117</v>
      </c>
    </row>
    <row r="21" spans="2:19" ht="8.25" customHeight="1"/>
    <row r="22" spans="2:19" ht="15.75" customHeight="1">
      <c r="B22" s="284" t="str">
        <f>'Liquidacion Santana JN Francois'!B8</f>
        <v>Sueldo base</v>
      </c>
      <c r="C22" s="284"/>
      <c r="D22" s="284"/>
      <c r="E22" s="284"/>
      <c r="F22" s="284"/>
      <c r="G22" s="284"/>
      <c r="H22" s="284"/>
      <c r="I22" s="88"/>
      <c r="J22" s="286">
        <f>'Liquidacion Santana JN Francois'!C8</f>
        <v>380000</v>
      </c>
      <c r="K22" s="286"/>
      <c r="L22" s="286"/>
      <c r="M22" s="286"/>
      <c r="N22" s="88"/>
      <c r="O22" s="284"/>
      <c r="P22" s="284"/>
      <c r="Q22" s="284"/>
      <c r="R22" s="284"/>
      <c r="S22" s="284"/>
    </row>
    <row r="23" spans="2:19" ht="4.5" customHeight="1">
      <c r="B23" s="88"/>
      <c r="C23" s="88"/>
      <c r="D23" s="88"/>
      <c r="E23" s="88"/>
      <c r="F23" s="88"/>
      <c r="G23" s="88"/>
      <c r="H23" s="88"/>
      <c r="I23" s="88"/>
      <c r="J23" s="89"/>
      <c r="K23" s="89"/>
      <c r="L23" s="89"/>
      <c r="M23" s="89"/>
      <c r="N23" s="88"/>
      <c r="O23" s="88"/>
      <c r="P23" s="88"/>
      <c r="Q23" s="88"/>
      <c r="R23" s="88"/>
      <c r="S23" s="88"/>
    </row>
    <row r="24" spans="2:19" ht="15.75" customHeight="1">
      <c r="B24" s="284" t="str">
        <f>'Liquidacion Santana JN Francois'!B9</f>
        <v>Gratificación</v>
      </c>
      <c r="C24" s="284"/>
      <c r="D24" s="284"/>
      <c r="E24" s="284"/>
      <c r="F24" s="284"/>
      <c r="G24" s="284"/>
      <c r="H24" s="284"/>
      <c r="I24" s="88"/>
      <c r="J24" s="286">
        <f>'Liquidacion Santana JN Francois'!C9</f>
        <v>95000</v>
      </c>
      <c r="K24" s="286"/>
      <c r="L24" s="286"/>
      <c r="M24" s="286"/>
      <c r="N24" s="88"/>
      <c r="O24" s="284"/>
      <c r="P24" s="284"/>
      <c r="Q24" s="284"/>
      <c r="R24" s="284"/>
      <c r="S24" s="284"/>
    </row>
    <row r="25" spans="2:19" ht="4.5" customHeight="1">
      <c r="B25" s="100"/>
      <c r="C25" s="100"/>
      <c r="D25" s="100"/>
      <c r="E25" s="100"/>
      <c r="F25" s="100"/>
      <c r="G25" s="100"/>
      <c r="H25" s="100"/>
      <c r="I25" s="88"/>
      <c r="J25" s="99"/>
      <c r="K25" s="99"/>
      <c r="L25" s="99"/>
      <c r="M25" s="99"/>
      <c r="N25" s="88"/>
      <c r="O25" s="100"/>
      <c r="P25" s="100"/>
      <c r="Q25" s="100"/>
      <c r="R25" s="100"/>
      <c r="S25" s="100"/>
    </row>
    <row r="26" spans="2:19" ht="15.75" customHeight="1">
      <c r="B26" s="284" t="str">
        <f>'Liquidacion Santana JN Francois'!B24</f>
        <v>Colación</v>
      </c>
      <c r="C26" s="284"/>
      <c r="D26" s="284"/>
      <c r="E26" s="284"/>
      <c r="F26" s="284"/>
      <c r="G26" s="284"/>
      <c r="H26" s="284"/>
      <c r="I26" s="88"/>
      <c r="J26" s="286">
        <f>'Liquidacion Santana JN Francois'!C24</f>
        <v>30000</v>
      </c>
      <c r="K26" s="286"/>
      <c r="L26" s="286"/>
      <c r="M26" s="286"/>
      <c r="N26" s="88"/>
      <c r="O26" s="100"/>
      <c r="P26" s="100"/>
      <c r="Q26" s="100"/>
      <c r="R26" s="100"/>
      <c r="S26" s="100"/>
    </row>
    <row r="27" spans="2:19" ht="6" customHeight="1">
      <c r="B27" s="100"/>
      <c r="C27" s="100"/>
      <c r="D27" s="100"/>
      <c r="E27" s="100"/>
      <c r="F27" s="100"/>
      <c r="G27" s="100"/>
      <c r="H27" s="100"/>
      <c r="I27" s="88"/>
      <c r="J27" s="99"/>
      <c r="K27" s="99"/>
      <c r="L27" s="99"/>
      <c r="M27" s="99"/>
      <c r="N27" s="88"/>
      <c r="O27" s="100"/>
      <c r="P27" s="100"/>
      <c r="Q27" s="100"/>
      <c r="R27" s="100"/>
      <c r="S27" s="100"/>
    </row>
    <row r="28" spans="2:19" ht="15.6" customHeight="1">
      <c r="B28" s="284" t="str">
        <f>'Liquidacion Santana JN Francois'!B25</f>
        <v>Movilización</v>
      </c>
      <c r="C28" s="284"/>
      <c r="D28" s="284"/>
      <c r="E28" s="284"/>
      <c r="F28" s="284"/>
      <c r="G28" s="284"/>
      <c r="H28" s="284"/>
      <c r="I28" s="88"/>
      <c r="J28" s="286">
        <f>'Liquidacion Santana JN Francois'!C25</f>
        <v>30000</v>
      </c>
      <c r="K28" s="286"/>
      <c r="L28" s="286"/>
      <c r="M28" s="286"/>
      <c r="N28" s="88"/>
      <c r="O28" s="100"/>
      <c r="P28" s="100"/>
      <c r="Q28" s="100"/>
      <c r="R28" s="100"/>
      <c r="S28" s="100"/>
    </row>
    <row r="29" spans="2:19" ht="4.3499999999999996" customHeight="1">
      <c r="B29" s="100"/>
      <c r="C29" s="100"/>
      <c r="D29" s="100"/>
      <c r="E29" s="100"/>
      <c r="F29" s="100"/>
      <c r="G29" s="100"/>
      <c r="H29" s="100"/>
      <c r="I29" s="88"/>
      <c r="J29" s="99"/>
      <c r="K29" s="99"/>
      <c r="L29" s="99"/>
      <c r="M29" s="99"/>
      <c r="N29" s="88"/>
      <c r="O29" s="100"/>
      <c r="P29" s="100"/>
      <c r="Q29" s="100"/>
      <c r="R29" s="100"/>
      <c r="S29" s="100"/>
    </row>
    <row r="30" spans="2:19" ht="15.6" customHeight="1">
      <c r="B30" s="284"/>
      <c r="C30" s="284"/>
      <c r="D30" s="284"/>
      <c r="E30" s="284"/>
      <c r="F30" s="284"/>
      <c r="G30" s="284"/>
      <c r="H30" s="284"/>
      <c r="I30" s="88"/>
      <c r="J30" s="286"/>
      <c r="K30" s="286"/>
      <c r="L30" s="286"/>
      <c r="M30" s="286"/>
      <c r="N30" s="88"/>
      <c r="O30" s="100"/>
      <c r="P30" s="100"/>
      <c r="Q30" s="100"/>
      <c r="R30" s="100"/>
      <c r="S30" s="100"/>
    </row>
    <row r="31" spans="2:19" ht="8.4499999999999993" customHeight="1">
      <c r="B31" s="100"/>
      <c r="C31" s="100"/>
      <c r="D31" s="100"/>
      <c r="E31" s="100"/>
      <c r="F31" s="100"/>
      <c r="G31" s="100"/>
      <c r="H31" s="100"/>
      <c r="I31" s="88"/>
      <c r="J31" s="99"/>
      <c r="K31" s="99"/>
      <c r="L31" s="99"/>
      <c r="M31" s="99"/>
      <c r="N31" s="88"/>
      <c r="O31" s="100"/>
      <c r="P31" s="100"/>
      <c r="Q31" s="100"/>
      <c r="R31" s="100"/>
      <c r="S31" s="100"/>
    </row>
    <row r="32" spans="2:19" ht="15.6" customHeight="1">
      <c r="B32" s="284"/>
      <c r="C32" s="284"/>
      <c r="D32" s="284"/>
      <c r="E32" s="284"/>
      <c r="F32" s="284"/>
      <c r="G32" s="284"/>
      <c r="H32" s="284"/>
      <c r="I32" s="88"/>
      <c r="J32" s="286"/>
      <c r="K32" s="286"/>
      <c r="L32" s="286"/>
      <c r="M32" s="286"/>
      <c r="N32" s="88"/>
      <c r="O32" s="100"/>
      <c r="P32" s="100"/>
      <c r="Q32" s="100"/>
      <c r="R32" s="100"/>
      <c r="S32" s="100"/>
    </row>
    <row r="33" spans="2:19" ht="14.25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2:19" ht="18.75">
      <c r="B34" s="90" t="s">
        <v>118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</row>
    <row r="35" spans="2:19" ht="6.75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</row>
    <row r="36" spans="2:19" ht="15.75" customHeight="1">
      <c r="B36" s="284" t="str">
        <f>'Liquidacion Santana JN Francois'!C6</f>
        <v>PlanVital</v>
      </c>
      <c r="C36" s="284"/>
      <c r="D36" s="284"/>
      <c r="E36" s="284"/>
      <c r="F36" s="284"/>
      <c r="G36" s="284"/>
      <c r="H36" s="284"/>
      <c r="I36" s="88"/>
      <c r="J36" s="284"/>
      <c r="K36" s="284"/>
      <c r="L36" s="284"/>
      <c r="M36" s="284"/>
      <c r="N36" s="88"/>
      <c r="O36" s="286">
        <f>'Liquidacion Santana JN Francois'!E8</f>
        <v>53010</v>
      </c>
      <c r="P36" s="286"/>
      <c r="Q36" s="286"/>
      <c r="R36" s="286"/>
      <c r="S36" s="286"/>
    </row>
    <row r="37" spans="2:19" ht="6" customHeight="1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  <c r="P37" s="89"/>
      <c r="Q37" s="89"/>
      <c r="R37" s="89"/>
      <c r="S37" s="89"/>
    </row>
    <row r="38" spans="2:19" ht="15.75" customHeight="1">
      <c r="B38" s="284" t="str">
        <f>'Liquidacion Santana JN Francois'!D4</f>
        <v>FONASA</v>
      </c>
      <c r="C38" s="284"/>
      <c r="D38" s="284"/>
      <c r="E38" s="284"/>
      <c r="F38" s="284"/>
      <c r="G38" s="284"/>
      <c r="H38" s="284"/>
      <c r="I38" s="88"/>
      <c r="J38" s="284"/>
      <c r="K38" s="284"/>
      <c r="L38" s="284"/>
      <c r="M38" s="284"/>
      <c r="N38" s="88"/>
      <c r="O38" s="286">
        <f>'Liquidacion Santana JN Francois'!E9</f>
        <v>33250</v>
      </c>
      <c r="P38" s="286"/>
      <c r="Q38" s="286"/>
      <c r="R38" s="286"/>
      <c r="S38" s="286"/>
    </row>
    <row r="39" spans="2:19" ht="5.0999999999999996" customHeight="1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9"/>
      <c r="P39" s="89"/>
      <c r="Q39" s="89"/>
      <c r="R39" s="89"/>
      <c r="S39" s="89"/>
    </row>
    <row r="40" spans="2:19" ht="15" customHeight="1">
      <c r="B40" s="284" t="str">
        <f>'Liquidacion Santana JN Francois'!D11</f>
        <v>Impuesto Unico</v>
      </c>
      <c r="C40" s="284"/>
      <c r="D40" s="284"/>
      <c r="E40" s="284"/>
      <c r="F40" s="284"/>
      <c r="G40" s="284"/>
      <c r="H40" s="284"/>
      <c r="I40" s="88"/>
      <c r="J40" s="284"/>
      <c r="K40" s="284"/>
      <c r="L40" s="284"/>
      <c r="M40" s="284"/>
      <c r="N40" s="88"/>
      <c r="O40" s="286">
        <f>'Liquidacion Santana JN Francois'!E11</f>
        <v>0</v>
      </c>
      <c r="P40" s="286"/>
      <c r="Q40" s="286"/>
      <c r="R40" s="286"/>
      <c r="S40" s="286"/>
    </row>
    <row r="41" spans="2:19" ht="6" customHeight="1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2:19" ht="15.75" customHeight="1">
      <c r="B42" s="284" t="str">
        <f>'Liquidacion Santana JN Francois'!D12</f>
        <v>Seg. Cesantia (0,6 %)</v>
      </c>
      <c r="C42" s="284"/>
      <c r="D42" s="284"/>
      <c r="E42" s="284"/>
      <c r="F42" s="284"/>
      <c r="G42" s="284"/>
      <c r="H42" s="284"/>
      <c r="I42" s="88"/>
      <c r="J42" s="284"/>
      <c r="K42" s="284"/>
      <c r="L42" s="284"/>
      <c r="M42" s="284"/>
      <c r="N42" s="88"/>
      <c r="O42" s="286">
        <f>'Liquidacion Santana JN Francois'!E12</f>
        <v>2850</v>
      </c>
      <c r="P42" s="286"/>
      <c r="Q42" s="286"/>
      <c r="R42" s="286"/>
      <c r="S42" s="286"/>
    </row>
    <row r="43" spans="2:19" ht="9" customHeight="1"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</row>
    <row r="44" spans="2:19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</row>
    <row r="45" spans="2:19" ht="18" customHeight="1">
      <c r="B45" s="88"/>
      <c r="C45" s="88"/>
      <c r="D45" s="88"/>
      <c r="E45" s="88"/>
      <c r="F45" s="88"/>
      <c r="G45" s="88"/>
      <c r="H45" s="88"/>
      <c r="I45" s="88"/>
      <c r="J45" s="286">
        <f>'Liquidacion Santana JN Francois'!C27</f>
        <v>535000</v>
      </c>
      <c r="K45" s="286"/>
      <c r="L45" s="286"/>
      <c r="M45" s="286"/>
      <c r="N45" s="88"/>
      <c r="O45" s="88"/>
      <c r="P45" s="286">
        <f>'Liquidacion Santana JN Francois'!E19</f>
        <v>89110</v>
      </c>
      <c r="Q45" s="286"/>
      <c r="R45" s="286"/>
      <c r="S45" s="286"/>
    </row>
    <row r="46" spans="2:19" ht="3" customHeight="1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</row>
    <row r="47" spans="2:19" ht="6.75" customHeight="1">
      <c r="B47" s="284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88"/>
      <c r="O47" s="284"/>
      <c r="P47" s="284"/>
      <c r="Q47" s="284"/>
      <c r="R47" s="284"/>
      <c r="S47" s="284"/>
    </row>
    <row r="48" spans="2:19">
      <c r="B48" s="88"/>
      <c r="C48" s="88"/>
      <c r="D48" s="88"/>
      <c r="E48" s="88"/>
      <c r="F48" s="88"/>
      <c r="G48" s="88"/>
      <c r="H48" s="88"/>
      <c r="I48" s="88"/>
      <c r="J48" s="286">
        <f>'Liquidacion Santana JN Francois'!E27</f>
        <v>445890</v>
      </c>
      <c r="K48" s="286"/>
      <c r="L48" s="286"/>
      <c r="M48" s="286"/>
      <c r="N48" s="286"/>
      <c r="O48" s="286"/>
      <c r="P48" s="286"/>
      <c r="Q48" s="286"/>
      <c r="R48" s="286"/>
      <c r="S48" s="286"/>
    </row>
    <row r="49" spans="2:19" ht="16.5" customHeight="1"/>
    <row r="50" spans="2:19" ht="15.75" customHeight="1">
      <c r="O50" s="285"/>
      <c r="P50" s="285"/>
      <c r="R50" s="285"/>
      <c r="S50" s="285"/>
    </row>
    <row r="51" spans="2:19" ht="6.75" customHeight="1"/>
    <row r="52" spans="2:19" ht="16.5" customHeight="1">
      <c r="B52" s="285"/>
      <c r="C52" s="285"/>
      <c r="D52" s="285"/>
      <c r="E52" s="285"/>
      <c r="O52" s="285"/>
      <c r="P52" s="285"/>
      <c r="Q52" s="285"/>
      <c r="R52" s="285"/>
      <c r="S52" s="285"/>
    </row>
  </sheetData>
  <mergeCells count="44">
    <mergeCell ref="J48:S48"/>
    <mergeCell ref="O50:P50"/>
    <mergeCell ref="R50:S50"/>
    <mergeCell ref="B52:E52"/>
    <mergeCell ref="O52:S52"/>
    <mergeCell ref="B47:M47"/>
    <mergeCell ref="O47:S47"/>
    <mergeCell ref="O36:S36"/>
    <mergeCell ref="B38:H38"/>
    <mergeCell ref="J38:M38"/>
    <mergeCell ref="O38:S38"/>
    <mergeCell ref="B40:H40"/>
    <mergeCell ref="J40:M40"/>
    <mergeCell ref="O40:S40"/>
    <mergeCell ref="B42:H42"/>
    <mergeCell ref="J42:M42"/>
    <mergeCell ref="O42:S42"/>
    <mergeCell ref="J45:M45"/>
    <mergeCell ref="P45:S45"/>
    <mergeCell ref="B30:H30"/>
    <mergeCell ref="J30:M30"/>
    <mergeCell ref="B32:H32"/>
    <mergeCell ref="J32:M32"/>
    <mergeCell ref="B36:H36"/>
    <mergeCell ref="J36:M36"/>
    <mergeCell ref="B28:H28"/>
    <mergeCell ref="J28:M28"/>
    <mergeCell ref="B15:F15"/>
    <mergeCell ref="H15:M15"/>
    <mergeCell ref="O15:S15"/>
    <mergeCell ref="B22:H22"/>
    <mergeCell ref="J22:M22"/>
    <mergeCell ref="O22:S22"/>
    <mergeCell ref="B24:H24"/>
    <mergeCell ref="J24:M24"/>
    <mergeCell ref="O24:S24"/>
    <mergeCell ref="B26:H26"/>
    <mergeCell ref="J26:M26"/>
    <mergeCell ref="D11:H11"/>
    <mergeCell ref="R3:S3"/>
    <mergeCell ref="C8:H8"/>
    <mergeCell ref="B9:C9"/>
    <mergeCell ref="D9:J9"/>
    <mergeCell ref="F10:J10"/>
  </mergeCells>
  <pageMargins left="0.19685039370078741" right="0.19685039370078741" top="0.19685039370078741" bottom="0.19685039370078741" header="0" footer="0"/>
  <pageSetup paperSize="119" scale="95" orientation="portrait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BEA6-2173-40CE-B36B-23A349D2DFBD}">
  <dimension ref="B1:T55"/>
  <sheetViews>
    <sheetView workbookViewId="0">
      <selection activeCell="C39" sqref="C39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10.140625" bestFit="1" customWidth="1"/>
    <col min="7" max="7" width="11" bestFit="1" customWidth="1"/>
    <col min="8" max="8" width="9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tr">
        <f>+J10</f>
        <v>JULIO</v>
      </c>
      <c r="C1" s="2" t="str">
        <f>+CONCATENATE(B1," ",D1)</f>
        <v>JULIO 2022</v>
      </c>
      <c r="D1">
        <f>+'Impto Unico'!C1</f>
        <v>2022</v>
      </c>
    </row>
    <row r="3" spans="2:14">
      <c r="B3" s="4" t="s">
        <v>1</v>
      </c>
      <c r="C3" s="151">
        <v>30</v>
      </c>
      <c r="D3" t="s">
        <v>93</v>
      </c>
      <c r="E3" s="3">
        <v>380000</v>
      </c>
      <c r="F3" t="s">
        <v>142</v>
      </c>
      <c r="G3" s="145">
        <v>350000</v>
      </c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D4" t="s">
        <v>96</v>
      </c>
      <c r="E4" s="73">
        <v>0</v>
      </c>
      <c r="F4" s="6" t="s">
        <v>143</v>
      </c>
      <c r="G4" s="145">
        <f>45*4</f>
        <v>180</v>
      </c>
      <c r="I4" s="4"/>
      <c r="J4" s="7">
        <v>81.599999999999994</v>
      </c>
      <c r="K4" s="7">
        <v>122.6</v>
      </c>
      <c r="L4" s="7">
        <f>+J4</f>
        <v>81.599999999999994</v>
      </c>
      <c r="M4" s="142"/>
      <c r="N4" s="4"/>
    </row>
    <row r="5" spans="2:14">
      <c r="B5" s="4" t="s">
        <v>9</v>
      </c>
      <c r="C5" s="10" t="s">
        <v>10</v>
      </c>
      <c r="E5" s="3">
        <f>+ROUND(E4*I6,0)</f>
        <v>0</v>
      </c>
      <c r="F5" t="s">
        <v>144</v>
      </c>
      <c r="G5" s="146">
        <f>G4*60</f>
        <v>10800</v>
      </c>
      <c r="I5" s="4"/>
      <c r="J5" s="4"/>
      <c r="K5" s="4"/>
      <c r="L5" s="11">
        <f>L4*7%</f>
        <v>5.7119999999999997</v>
      </c>
      <c r="M5" s="143">
        <f>(C8+C12+C11)*25%</f>
        <v>108775</v>
      </c>
      <c r="N5" s="4"/>
    </row>
    <row r="6" spans="2:14">
      <c r="B6" s="4" t="s">
        <v>11</v>
      </c>
      <c r="C6" s="12" t="s">
        <v>136</v>
      </c>
      <c r="D6" s="82">
        <v>7.0000000000000007E-2</v>
      </c>
      <c r="E6" s="3">
        <f>+C19*D6</f>
        <v>38071.25</v>
      </c>
      <c r="F6" t="s">
        <v>145</v>
      </c>
      <c r="G6" s="147">
        <f>G3/G5</f>
        <v>32.407407407407405</v>
      </c>
      <c r="I6" s="13">
        <f>+'Impto Unico'!L2</f>
        <v>33417.26</v>
      </c>
      <c r="J6" s="14">
        <f>+J4*$I$6</f>
        <v>2726848.4160000002</v>
      </c>
      <c r="K6" s="14">
        <f>K4*$I$6</f>
        <v>4096956.0759999999</v>
      </c>
      <c r="L6" s="15">
        <f>L5*I6</f>
        <v>190879.38912000001</v>
      </c>
      <c r="M6" s="14">
        <f>(380000*4.75)*(1/12)</f>
        <v>150416.66666666666</v>
      </c>
      <c r="N6" s="16">
        <f>C19-E8-IF((E9+E10)&lt;L6,(E9+E10),L6)-E12-E15-E16</f>
        <v>441845</v>
      </c>
    </row>
    <row r="7" spans="2:14" ht="15.75" thickBot="1">
      <c r="C7" s="17"/>
      <c r="D7" s="18"/>
      <c r="F7" t="s">
        <v>146</v>
      </c>
      <c r="G7" s="146">
        <f>60+27</f>
        <v>87</v>
      </c>
      <c r="I7" s="19"/>
      <c r="J7" s="20"/>
      <c r="K7" s="20"/>
      <c r="L7" s="21"/>
      <c r="M7" s="20"/>
      <c r="N7" s="17"/>
    </row>
    <row r="8" spans="2:14">
      <c r="B8" s="22" t="s">
        <v>13</v>
      </c>
      <c r="C8" s="131">
        <f>E3</f>
        <v>380000</v>
      </c>
      <c r="D8" s="152" t="str">
        <f>C6</f>
        <v>PlanVital</v>
      </c>
      <c r="E8" s="23">
        <f>ROUND(IF(C19&lt;J6,C19*J24,J6*J24),0)</f>
        <v>60696</v>
      </c>
      <c r="G8" s="146">
        <f>G5-G7</f>
        <v>10713</v>
      </c>
      <c r="I8" s="149"/>
      <c r="J8" s="141"/>
    </row>
    <row r="9" spans="2:14">
      <c r="B9" s="24" t="s">
        <v>14</v>
      </c>
      <c r="C9" s="17">
        <f>IF(M5&lt;M6,M5,M6)</f>
        <v>108775</v>
      </c>
      <c r="D9" s="24" t="str">
        <f>D4</f>
        <v>FONASA</v>
      </c>
      <c r="E9" s="25">
        <f>+ROUND(IF(L6&lt;=E6,L6,E6),0)</f>
        <v>38071</v>
      </c>
      <c r="G9" s="148">
        <f>G8*G6</f>
        <v>347180.5555555555</v>
      </c>
      <c r="H9" s="74"/>
    </row>
    <row r="10" spans="2:14">
      <c r="B10" s="24"/>
      <c r="C10" s="31"/>
      <c r="D10" s="24" t="s">
        <v>16</v>
      </c>
      <c r="E10" s="26">
        <v>0</v>
      </c>
      <c r="G10">
        <f>G8/60</f>
        <v>178.55</v>
      </c>
      <c r="H10" s="150">
        <f>G10*H11/G11</f>
        <v>29.758333333333333</v>
      </c>
      <c r="J10" s="1" t="str">
        <f>+'Impto Unico'!B1</f>
        <v>JULIO</v>
      </c>
      <c r="K10" t="s">
        <v>18</v>
      </c>
    </row>
    <row r="11" spans="2:14">
      <c r="B11" s="24" t="s">
        <v>127</v>
      </c>
      <c r="C11" s="31"/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0</v>
      </c>
      <c r="G11">
        <v>180</v>
      </c>
      <c r="H11">
        <v>30</v>
      </c>
      <c r="I11" s="27" t="s">
        <v>20</v>
      </c>
      <c r="J11" s="28">
        <f>+'Impto Unico'!C2</f>
        <v>777019.5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>
      <c r="B12" s="24" t="s">
        <v>137</v>
      </c>
      <c r="C12" s="31">
        <v>55100</v>
      </c>
      <c r="D12" s="24" t="s">
        <v>98</v>
      </c>
      <c r="E12" s="25">
        <f>ROUND(IF(C5="INDEFINIDO",(IF(C19&gt;$K$6,($K$6*$M$22),($C$19*M22))),0),0)</f>
        <v>3263</v>
      </c>
      <c r="H12" s="56"/>
      <c r="I12" s="27"/>
      <c r="J12" s="28">
        <f>+'Impto Unico'!C3</f>
        <v>777019.51</v>
      </c>
      <c r="K12" s="28">
        <f>+'Impto Unico'!D3</f>
        <v>1726710</v>
      </c>
      <c r="L12" s="28">
        <f>+'Impto Unico'!E3</f>
        <v>0.04</v>
      </c>
      <c r="M12" s="28">
        <f>+'Impto Unico'!F3</f>
        <v>31080.78</v>
      </c>
      <c r="N12" s="28">
        <f>+'Impto Unico'!G3</f>
        <v>2.1999999999999999E-2</v>
      </c>
    </row>
    <row r="13" spans="2:14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f>+'Impto Unico'!C4</f>
        <v>1726710.01</v>
      </c>
      <c r="K13" s="28">
        <f>+'Impto Unico'!D4</f>
        <v>2877850</v>
      </c>
      <c r="L13" s="28">
        <f>+'Impto Unico'!E4</f>
        <v>0.08</v>
      </c>
      <c r="M13" s="28">
        <f>+'Impto Unico'!F4</f>
        <v>100149.18</v>
      </c>
      <c r="N13" s="28">
        <f>+'Impto Unico'!G4</f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f>+'Impto Unico'!C5</f>
        <v>2877850.01</v>
      </c>
      <c r="K14" s="28">
        <f>+'Impto Unico'!D5</f>
        <v>4028990</v>
      </c>
      <c r="L14" s="28">
        <f>+'Impto Unico'!E5</f>
        <v>0.13500000000000001</v>
      </c>
      <c r="M14" s="28">
        <f>+'Impto Unico'!F5</f>
        <v>258430.93</v>
      </c>
      <c r="N14" s="28">
        <f>+'Impto Unico'!G5</f>
        <v>7.0900000000000005E-2</v>
      </c>
    </row>
    <row r="15" spans="2:14">
      <c r="B15" s="24"/>
      <c r="C15" s="25"/>
      <c r="D15" s="24" t="s">
        <v>28</v>
      </c>
      <c r="E15" s="31"/>
      <c r="G15" s="141">
        <f>C19*J24</f>
        <v>60696.450000000004</v>
      </c>
      <c r="I15" s="27"/>
      <c r="J15" s="28">
        <f>+'Impto Unico'!C6</f>
        <v>4028990.01</v>
      </c>
      <c r="K15" s="28">
        <f>+'Impto Unico'!D6</f>
        <v>5180130</v>
      </c>
      <c r="L15" s="28">
        <f>+'Impto Unico'!E6</f>
        <v>0.23</v>
      </c>
      <c r="M15" s="28">
        <f>+'Impto Unico'!F6</f>
        <v>641184.98</v>
      </c>
      <c r="N15" s="28">
        <f>+'Impto Unico'!G6</f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f>+'Impto Unico'!C7</f>
        <v>5180130.01</v>
      </c>
      <c r="K16" s="28">
        <f>+'Impto Unico'!D7</f>
        <v>6906840</v>
      </c>
      <c r="L16" s="28">
        <f>+'Impto Unico'!E7</f>
        <v>0.30399999999999999</v>
      </c>
      <c r="M16" s="28">
        <f>+'Impto Unico'!F7</f>
        <v>1024514.6</v>
      </c>
      <c r="N16" s="28">
        <f>+'Impto Unico'!G7</f>
        <v>0.15570000000000001</v>
      </c>
    </row>
    <row r="17" spans="2:20">
      <c r="B17" s="24"/>
      <c r="C17" s="25"/>
      <c r="D17" s="24" t="s">
        <v>151</v>
      </c>
      <c r="E17" s="25">
        <v>0</v>
      </c>
      <c r="I17" s="27"/>
      <c r="J17" s="28">
        <f>+'Impto Unico'!C8</f>
        <v>6906840.0099999998</v>
      </c>
      <c r="K17" s="28">
        <f>+'Impto Unico'!D8</f>
        <v>8633550</v>
      </c>
      <c r="L17" s="28">
        <f>+'Impto Unico'!E8</f>
        <v>0.35</v>
      </c>
      <c r="M17" s="28">
        <f>+'Impto Unico'!F8</f>
        <v>1342229.24</v>
      </c>
      <c r="N17" s="28">
        <f>+'Impto Unico'!G8</f>
        <v>0.19450000000000001</v>
      </c>
    </row>
    <row r="18" spans="2:20">
      <c r="B18" s="24"/>
      <c r="C18" s="25"/>
      <c r="D18" s="24"/>
      <c r="E18" s="25"/>
      <c r="I18" s="27"/>
      <c r="J18" s="28">
        <f>+'Impto Unico'!C9</f>
        <v>8633550.0099999998</v>
      </c>
      <c r="K18" s="28" t="str">
        <f>+'Impto Unico'!D9</f>
        <v>Y MÁS</v>
      </c>
      <c r="L18" s="28">
        <f>+'Impto Unico'!E9</f>
        <v>0.4</v>
      </c>
      <c r="M18" s="28">
        <f>+'Impto Unico'!F9</f>
        <v>1773906.74</v>
      </c>
      <c r="N18" s="28" t="str">
        <f>+'Impto Unico'!G9</f>
        <v>MÁS DE 19,45%</v>
      </c>
    </row>
    <row r="19" spans="2:20">
      <c r="B19" s="35" t="s">
        <v>33</v>
      </c>
      <c r="C19" s="36">
        <f>C8+C9+C12-C13+C10+C11</f>
        <v>543875</v>
      </c>
      <c r="D19" s="35" t="s">
        <v>34</v>
      </c>
      <c r="E19" s="37">
        <f>SUM(E8:E17)</f>
        <v>102030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99</v>
      </c>
      <c r="C24" s="25">
        <v>50000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>
      <c r="B25" s="24" t="s">
        <v>100</v>
      </c>
      <c r="C25" s="25">
        <v>40000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633875</v>
      </c>
      <c r="D27" s="48" t="s">
        <v>46</v>
      </c>
      <c r="E27" s="49">
        <f>C19-E19+C24+C25</f>
        <v>531845</v>
      </c>
      <c r="H27" s="74"/>
      <c r="I27" s="4" t="s">
        <v>101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I28" s="4" t="s">
        <v>95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</f>
        <v>531845</v>
      </c>
      <c r="I29" s="56"/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2.4E-2</v>
      </c>
      <c r="D32" s="16">
        <f>IF(C19&gt;$K$6,($K$6*$C$32),($C$19*C32))</f>
        <v>13053</v>
      </c>
      <c r="G32" s="6"/>
    </row>
    <row r="33" spans="2:10">
      <c r="B33" s="4" t="s">
        <v>123</v>
      </c>
      <c r="C33" s="39">
        <v>9.2999999999999992E-3</v>
      </c>
      <c r="D33" s="16">
        <f>IF(C19&lt;$J$6,C19*$C$33,$J$6*$C$33)</f>
        <v>5058.0374999999995</v>
      </c>
      <c r="E33" s="57"/>
      <c r="G33" s="6"/>
    </row>
    <row r="34" spans="2:10">
      <c r="B34" s="4" t="s">
        <v>51</v>
      </c>
      <c r="C34" s="39">
        <v>1.8599999999999998E-2</v>
      </c>
      <c r="D34" s="58">
        <f>IF(C19&lt;$J$6,C19*$C$34,$J$6*$C$34)</f>
        <v>10116.074999999999</v>
      </c>
      <c r="E34" s="57"/>
      <c r="G34" s="6"/>
    </row>
    <row r="35" spans="2:10">
      <c r="B35" s="7" t="s">
        <v>52</v>
      </c>
      <c r="C35" s="7"/>
      <c r="D35" s="59">
        <f>C27+D32+D33+D34</f>
        <v>662102.11249999993</v>
      </c>
      <c r="E35" s="60"/>
      <c r="G35" s="6"/>
      <c r="I35">
        <f>128/4</f>
        <v>32</v>
      </c>
    </row>
    <row r="36" spans="2:10">
      <c r="B36" s="61"/>
      <c r="C36" s="62"/>
      <c r="E36" s="17"/>
      <c r="G36" s="6"/>
    </row>
    <row r="37" spans="2:10">
      <c r="B37" s="61" t="s">
        <v>102</v>
      </c>
      <c r="C37" s="61" t="s">
        <v>161</v>
      </c>
      <c r="E37" s="17"/>
      <c r="G37" s="6"/>
    </row>
    <row r="38" spans="2:10">
      <c r="B38" t="s">
        <v>104</v>
      </c>
      <c r="C38" s="62" t="s">
        <v>162</v>
      </c>
      <c r="E38" s="17"/>
    </row>
    <row r="39" spans="2:10">
      <c r="B39" s="63" t="s">
        <v>106</v>
      </c>
      <c r="C39" s="62" t="s">
        <v>222</v>
      </c>
      <c r="E39" s="17"/>
    </row>
    <row r="40" spans="2:10">
      <c r="B40" t="s">
        <v>108</v>
      </c>
      <c r="C40" s="144">
        <v>44630</v>
      </c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G44" s="102"/>
      <c r="H44" s="6"/>
      <c r="I44" s="17"/>
    </row>
    <row r="45" spans="2:10">
      <c r="B45" s="61"/>
      <c r="C45" s="69"/>
      <c r="D45" s="125"/>
      <c r="E45" s="17"/>
      <c r="G45" s="102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67A-1DB3-4EC7-B859-97239B8014B9}">
  <sheetPr>
    <pageSetUpPr fitToPage="1"/>
  </sheetPr>
  <dimension ref="B3:S52"/>
  <sheetViews>
    <sheetView showGridLines="0" zoomScale="120" zoomScaleNormal="120" zoomScaleSheetLayoutView="90" workbookViewId="0">
      <selection activeCell="U34" sqref="U34"/>
    </sheetView>
  </sheetViews>
  <sheetFormatPr baseColWidth="10" defaultColWidth="11.42578125" defaultRowHeight="15"/>
  <cols>
    <col min="1" max="1" width="7.42578125" customWidth="1"/>
    <col min="2" max="2" width="7.140625" customWidth="1"/>
    <col min="3" max="3" width="2.7109375" customWidth="1"/>
    <col min="4" max="4" width="5.140625" customWidth="1"/>
    <col min="5" max="5" width="4.42578125" customWidth="1"/>
    <col min="6" max="6" width="8.7109375" customWidth="1"/>
    <col min="7" max="7" width="1.28515625" customWidth="1"/>
    <col min="8" max="8" width="7" customWidth="1"/>
    <col min="9" max="9" width="1.42578125" customWidth="1"/>
    <col min="10" max="10" width="4.140625" customWidth="1"/>
    <col min="11" max="11" width="1.7109375" customWidth="1"/>
    <col min="12" max="12" width="9.28515625" customWidth="1"/>
    <col min="13" max="13" width="4.7109375" customWidth="1"/>
    <col min="14" max="14" width="1.28515625" customWidth="1"/>
    <col min="15" max="15" width="1.42578125" customWidth="1"/>
    <col min="16" max="16" width="11.42578125" customWidth="1"/>
    <col min="17" max="17" width="0.7109375" customWidth="1"/>
    <col min="18" max="18" width="7.7109375" customWidth="1"/>
    <col min="19" max="19" width="6.28515625" customWidth="1"/>
    <col min="20" max="20" width="7" customWidth="1"/>
  </cols>
  <sheetData>
    <row r="3" spans="2:19" ht="18.75">
      <c r="J3" s="83"/>
      <c r="K3" s="83"/>
      <c r="L3" s="83"/>
      <c r="M3" s="83"/>
      <c r="R3" s="279" t="str">
        <f>+'Liquidacion Rolando Carrasco'!C1</f>
        <v>JULIO 2022</v>
      </c>
      <c r="S3" s="280"/>
    </row>
    <row r="6" spans="2:19" ht="18.75">
      <c r="B6" s="83" t="s">
        <v>110</v>
      </c>
      <c r="C6" s="83"/>
      <c r="D6" s="83"/>
      <c r="E6" s="83"/>
      <c r="F6" s="83"/>
      <c r="G6" s="83"/>
      <c r="H6" s="83"/>
      <c r="I6" s="83"/>
      <c r="J6" s="83"/>
      <c r="L6" s="83" t="s">
        <v>111</v>
      </c>
      <c r="M6" s="83"/>
    </row>
    <row r="8" spans="2:19" ht="18">
      <c r="B8" s="84"/>
      <c r="C8" s="277" t="str">
        <f>'Liquidacion Freddy Perez'!C38</f>
        <v>16925872-4</v>
      </c>
      <c r="D8" s="278"/>
      <c r="E8" s="278"/>
      <c r="F8" s="278"/>
      <c r="G8" s="278"/>
      <c r="H8" s="278"/>
      <c r="I8" s="85"/>
      <c r="L8" s="86"/>
      <c r="M8" s="86"/>
      <c r="P8" s="91" t="s">
        <v>112</v>
      </c>
      <c r="S8" s="87"/>
    </row>
    <row r="9" spans="2:19" ht="16.5" customHeight="1">
      <c r="B9" s="281"/>
      <c r="C9" s="281"/>
      <c r="D9" s="282" t="str">
        <f>+'Liquidacion Freddy Perez'!C37</f>
        <v>Freddy Perez</v>
      </c>
      <c r="E9" s="282"/>
      <c r="F9" s="282"/>
      <c r="G9" s="282"/>
      <c r="H9" s="282"/>
      <c r="I9" s="282"/>
      <c r="J9" s="282"/>
      <c r="L9" s="86"/>
      <c r="M9" s="91" t="s">
        <v>113</v>
      </c>
      <c r="O9" s="86"/>
      <c r="P9" s="86"/>
    </row>
    <row r="10" spans="2:19" ht="16.7" customHeight="1">
      <c r="B10" s="84"/>
      <c r="C10" s="84"/>
      <c r="D10" s="84"/>
      <c r="E10" s="84"/>
      <c r="F10" s="287">
        <f>'Liquidacion Freddy Perez'!C40</f>
        <v>44630</v>
      </c>
      <c r="G10" s="287"/>
      <c r="H10" s="287"/>
      <c r="I10" s="287"/>
      <c r="J10" s="287"/>
      <c r="L10" s="86"/>
      <c r="M10" s="86"/>
      <c r="N10" s="91" t="s">
        <v>164</v>
      </c>
      <c r="O10" s="86"/>
      <c r="P10" s="92"/>
    </row>
    <row r="11" spans="2:19" ht="16.350000000000001" customHeight="1">
      <c r="B11" s="84"/>
      <c r="C11" s="84"/>
      <c r="D11" s="287" t="str">
        <f>'Liquidacion Freddy Perez'!C39</f>
        <v>Maestro y Jefe Carpintería</v>
      </c>
      <c r="E11" s="287"/>
      <c r="F11" s="287"/>
      <c r="G11" s="287"/>
      <c r="H11" s="287"/>
      <c r="L11" s="86"/>
      <c r="M11" s="91" t="s">
        <v>115</v>
      </c>
      <c r="O11" s="86"/>
      <c r="P11" s="86"/>
      <c r="Q11" s="86"/>
    </row>
    <row r="12" spans="2:19" ht="27" customHeight="1"/>
    <row r="13" spans="2:19" ht="19.5" customHeight="1"/>
    <row r="14" spans="2:19" ht="4.5" customHeight="1"/>
    <row r="15" spans="2:19" ht="18.75" customHeight="1">
      <c r="B15" s="284">
        <f>'Liquidacion Freddy Perez'!C3</f>
        <v>30</v>
      </c>
      <c r="C15" s="284"/>
      <c r="D15" s="284"/>
      <c r="E15" s="284"/>
      <c r="F15" s="284"/>
      <c r="G15" s="52"/>
      <c r="H15" s="285"/>
      <c r="I15" s="285"/>
      <c r="J15" s="285"/>
      <c r="K15" s="285"/>
      <c r="L15" s="285"/>
      <c r="M15" s="285"/>
      <c r="O15" s="285"/>
      <c r="P15" s="285"/>
      <c r="Q15" s="285"/>
      <c r="R15" s="285"/>
      <c r="S15" s="285"/>
    </row>
    <row r="16" spans="2:19" ht="19.5" customHeight="1"/>
    <row r="18" spans="2:19" ht="16.5" customHeight="1"/>
    <row r="19" spans="2:19" ht="18.75" customHeight="1">
      <c r="Q19" t="s">
        <v>116</v>
      </c>
    </row>
    <row r="20" spans="2:19" ht="14.25" customHeight="1">
      <c r="B20" s="83" t="s">
        <v>117</v>
      </c>
    </row>
    <row r="21" spans="2:19" ht="8.25" customHeight="1"/>
    <row r="22" spans="2:19" ht="15.75" customHeight="1">
      <c r="B22" s="284" t="str">
        <f>'Liquidacion Freddy Perez'!B8</f>
        <v>Sueldo base</v>
      </c>
      <c r="C22" s="284"/>
      <c r="D22" s="284"/>
      <c r="E22" s="284"/>
      <c r="F22" s="284"/>
      <c r="G22" s="284"/>
      <c r="H22" s="284"/>
      <c r="I22" s="88"/>
      <c r="J22" s="286">
        <f>'Liquidacion Freddy Perez'!C8</f>
        <v>380000</v>
      </c>
      <c r="K22" s="286"/>
      <c r="L22" s="286"/>
      <c r="M22" s="286"/>
      <c r="N22" s="88"/>
      <c r="O22" s="284"/>
      <c r="P22" s="284"/>
      <c r="Q22" s="284"/>
      <c r="R22" s="284"/>
      <c r="S22" s="284"/>
    </row>
    <row r="23" spans="2:19" ht="4.5" customHeight="1">
      <c r="B23" s="88"/>
      <c r="C23" s="88"/>
      <c r="D23" s="88"/>
      <c r="E23" s="88"/>
      <c r="F23" s="88"/>
      <c r="G23" s="88"/>
      <c r="H23" s="88"/>
      <c r="I23" s="88"/>
      <c r="J23" s="89"/>
      <c r="K23" s="89"/>
      <c r="L23" s="89"/>
      <c r="M23" s="89"/>
      <c r="N23" s="88"/>
      <c r="O23" s="88"/>
      <c r="P23" s="88"/>
      <c r="Q23" s="88"/>
      <c r="R23" s="88"/>
      <c r="S23" s="88"/>
    </row>
    <row r="24" spans="2:19" ht="15.75" customHeight="1">
      <c r="B24" s="284" t="str">
        <f>'Liquidacion Freddy Perez'!B9</f>
        <v>Gratificación</v>
      </c>
      <c r="C24" s="284"/>
      <c r="D24" s="284"/>
      <c r="E24" s="284"/>
      <c r="F24" s="284"/>
      <c r="G24" s="284"/>
      <c r="H24" s="284"/>
      <c r="I24" s="88"/>
      <c r="J24" s="286">
        <f>'Liquidacion Freddy Perez'!C9</f>
        <v>108775</v>
      </c>
      <c r="K24" s="286"/>
      <c r="L24" s="286"/>
      <c r="M24" s="286"/>
      <c r="N24" s="88"/>
      <c r="O24" s="284"/>
      <c r="P24" s="284"/>
      <c r="Q24" s="284"/>
      <c r="R24" s="284"/>
      <c r="S24" s="284"/>
    </row>
    <row r="25" spans="2:19" ht="4.5" customHeight="1">
      <c r="B25" s="100"/>
      <c r="C25" s="100"/>
      <c r="D25" s="100"/>
      <c r="E25" s="100"/>
      <c r="F25" s="100"/>
      <c r="G25" s="100"/>
      <c r="H25" s="100"/>
      <c r="I25" s="88"/>
      <c r="J25" s="99"/>
      <c r="K25" s="99"/>
      <c r="L25" s="99"/>
      <c r="M25" s="99"/>
      <c r="N25" s="88"/>
      <c r="O25" s="100"/>
      <c r="P25" s="100"/>
      <c r="Q25" s="100"/>
      <c r="R25" s="100"/>
      <c r="S25" s="100"/>
    </row>
    <row r="26" spans="2:19" ht="15.75" customHeight="1">
      <c r="B26" s="284" t="str">
        <f>'Liquidacion Freddy Perez'!B24</f>
        <v>Colación</v>
      </c>
      <c r="C26" s="284"/>
      <c r="D26" s="284"/>
      <c r="E26" s="284"/>
      <c r="F26" s="284"/>
      <c r="G26" s="284"/>
      <c r="H26" s="284"/>
      <c r="I26" s="88"/>
      <c r="J26" s="286">
        <f>'Liquidacion Freddy Perez'!C24</f>
        <v>50000</v>
      </c>
      <c r="K26" s="286"/>
      <c r="L26" s="286"/>
      <c r="M26" s="286"/>
      <c r="N26" s="88"/>
      <c r="O26" s="100"/>
      <c r="P26" s="100"/>
      <c r="Q26" s="100"/>
      <c r="R26" s="100"/>
      <c r="S26" s="100"/>
    </row>
    <row r="27" spans="2:19" ht="6" customHeight="1">
      <c r="B27" s="100"/>
      <c r="C27" s="100"/>
      <c r="D27" s="100"/>
      <c r="E27" s="100"/>
      <c r="F27" s="100"/>
      <c r="G27" s="100"/>
      <c r="H27" s="100"/>
      <c r="I27" s="88"/>
      <c r="J27" s="99"/>
      <c r="K27" s="99"/>
      <c r="L27" s="99"/>
      <c r="M27" s="99"/>
      <c r="N27" s="88"/>
      <c r="O27" s="100"/>
      <c r="P27" s="100"/>
      <c r="Q27" s="100"/>
      <c r="R27" s="100"/>
      <c r="S27" s="100"/>
    </row>
    <row r="28" spans="2:19" ht="15.6" customHeight="1">
      <c r="B28" s="284" t="str">
        <f>'Liquidacion Freddy Perez'!B25</f>
        <v>Movilización</v>
      </c>
      <c r="C28" s="284"/>
      <c r="D28" s="284"/>
      <c r="E28" s="284"/>
      <c r="F28" s="284"/>
      <c r="G28" s="284"/>
      <c r="H28" s="284"/>
      <c r="I28" s="88"/>
      <c r="J28" s="286">
        <f>'Liquidacion Freddy Perez'!C25</f>
        <v>40000</v>
      </c>
      <c r="K28" s="286"/>
      <c r="L28" s="286"/>
      <c r="M28" s="286"/>
      <c r="N28" s="88"/>
      <c r="O28" s="100"/>
      <c r="P28" s="100"/>
      <c r="Q28" s="100"/>
      <c r="R28" s="100"/>
      <c r="S28" s="100"/>
    </row>
    <row r="29" spans="2:19" ht="4.3499999999999996" customHeight="1">
      <c r="B29" s="100"/>
      <c r="C29" s="100"/>
      <c r="D29" s="100"/>
      <c r="E29" s="100"/>
      <c r="F29" s="100"/>
      <c r="G29" s="100"/>
      <c r="H29" s="100"/>
      <c r="I29" s="88"/>
      <c r="J29" s="99"/>
      <c r="K29" s="99"/>
      <c r="L29" s="99"/>
      <c r="M29" s="99"/>
      <c r="N29" s="88"/>
      <c r="O29" s="100"/>
      <c r="P29" s="100"/>
      <c r="Q29" s="100"/>
      <c r="R29" s="100"/>
      <c r="S29" s="100"/>
    </row>
    <row r="30" spans="2:19" ht="15.6" customHeight="1">
      <c r="B30" s="284" t="str">
        <f>'Liquidacion Freddy Perez'!B11</f>
        <v>Bono Produccion</v>
      </c>
      <c r="C30" s="284"/>
      <c r="D30" s="284"/>
      <c r="E30" s="284"/>
      <c r="F30" s="284"/>
      <c r="G30" s="284"/>
      <c r="H30" s="284"/>
      <c r="I30" s="88"/>
      <c r="J30" s="286">
        <f>'Liquidacion Freddy Perez'!C11</f>
        <v>0</v>
      </c>
      <c r="K30" s="286"/>
      <c r="L30" s="286"/>
      <c r="M30" s="286"/>
      <c r="N30" s="88"/>
      <c r="O30" s="100"/>
      <c r="P30" s="100"/>
      <c r="Q30" s="100"/>
      <c r="R30" s="100"/>
      <c r="S30" s="100"/>
    </row>
    <row r="31" spans="2:19" ht="8.4499999999999993" customHeight="1">
      <c r="B31" s="100"/>
      <c r="C31" s="100"/>
      <c r="D31" s="100"/>
      <c r="E31" s="100"/>
      <c r="F31" s="100"/>
      <c r="G31" s="100"/>
      <c r="H31" s="100"/>
      <c r="I31" s="88"/>
      <c r="J31" s="99"/>
      <c r="K31" s="99"/>
      <c r="L31" s="99"/>
      <c r="M31" s="99"/>
      <c r="N31" s="88"/>
      <c r="O31" s="100"/>
      <c r="P31" s="100"/>
      <c r="Q31" s="100"/>
      <c r="R31" s="100"/>
      <c r="S31" s="100"/>
    </row>
    <row r="32" spans="2:19" ht="15.6" customHeight="1">
      <c r="B32" s="284" t="str">
        <f>+'Liquidacion Freddy Perez'!B12</f>
        <v>Bono Responsabilidad</v>
      </c>
      <c r="C32" s="284"/>
      <c r="D32" s="284"/>
      <c r="E32" s="284"/>
      <c r="F32" s="284"/>
      <c r="G32" s="284"/>
      <c r="H32" s="284"/>
      <c r="I32" s="88"/>
      <c r="J32" s="286">
        <f>+'Liquidacion Freddy Perez'!C12</f>
        <v>55100</v>
      </c>
      <c r="K32" s="286"/>
      <c r="L32" s="286"/>
      <c r="M32" s="286"/>
      <c r="N32" s="88"/>
      <c r="O32" s="100"/>
      <c r="P32" s="100"/>
      <c r="Q32" s="100"/>
      <c r="R32" s="100"/>
      <c r="S32" s="100"/>
    </row>
    <row r="33" spans="2:19" ht="14.25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2:19" ht="18.75">
      <c r="B34" s="90" t="s">
        <v>118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</row>
    <row r="35" spans="2:19" ht="6.75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</row>
    <row r="36" spans="2:19" ht="15.75" customHeight="1">
      <c r="B36" s="284" t="str">
        <f>'Liquidacion Freddy Perez'!C6</f>
        <v>PlanVital</v>
      </c>
      <c r="C36" s="284"/>
      <c r="D36" s="284"/>
      <c r="E36" s="284"/>
      <c r="F36" s="284"/>
      <c r="G36" s="284"/>
      <c r="H36" s="284"/>
      <c r="I36" s="88"/>
      <c r="J36" s="284"/>
      <c r="K36" s="284"/>
      <c r="L36" s="284"/>
      <c r="M36" s="284"/>
      <c r="N36" s="88"/>
      <c r="O36" s="286">
        <f>'Liquidacion Freddy Perez'!E8</f>
        <v>60696</v>
      </c>
      <c r="P36" s="286"/>
      <c r="Q36" s="286"/>
      <c r="R36" s="286"/>
      <c r="S36" s="286"/>
    </row>
    <row r="37" spans="2:19" ht="6" customHeight="1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  <c r="P37" s="89"/>
      <c r="Q37" s="89"/>
      <c r="R37" s="89"/>
      <c r="S37" s="89"/>
    </row>
    <row r="38" spans="2:19" ht="15.75" customHeight="1">
      <c r="B38" s="284" t="str">
        <f>'Liquidacion Freddy Perez'!D4</f>
        <v>FONASA</v>
      </c>
      <c r="C38" s="284"/>
      <c r="D38" s="284"/>
      <c r="E38" s="284"/>
      <c r="F38" s="284"/>
      <c r="G38" s="284"/>
      <c r="H38" s="284"/>
      <c r="I38" s="88"/>
      <c r="J38" s="284"/>
      <c r="K38" s="284"/>
      <c r="L38" s="284"/>
      <c r="M38" s="284"/>
      <c r="N38" s="88"/>
      <c r="O38" s="286">
        <f>'Liquidacion Freddy Perez'!E9</f>
        <v>38071</v>
      </c>
      <c r="P38" s="286"/>
      <c r="Q38" s="286"/>
      <c r="R38" s="286"/>
      <c r="S38" s="286"/>
    </row>
    <row r="39" spans="2:19" ht="5.0999999999999996" customHeight="1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9"/>
      <c r="P39" s="89"/>
      <c r="Q39" s="89"/>
      <c r="R39" s="89"/>
      <c r="S39" s="89"/>
    </row>
    <row r="40" spans="2:19" ht="15" customHeight="1">
      <c r="B40" s="284" t="str">
        <f>'Liquidacion Freddy Perez'!D11</f>
        <v>Impuesto Unico</v>
      </c>
      <c r="C40" s="284"/>
      <c r="D40" s="284"/>
      <c r="E40" s="284"/>
      <c r="F40" s="284"/>
      <c r="G40" s="284"/>
      <c r="H40" s="284"/>
      <c r="I40" s="88"/>
      <c r="J40" s="284"/>
      <c r="K40" s="284"/>
      <c r="L40" s="284"/>
      <c r="M40" s="284"/>
      <c r="N40" s="88"/>
      <c r="O40" s="286">
        <f>'Liquidacion Freddy Perez'!E11</f>
        <v>0</v>
      </c>
      <c r="P40" s="286"/>
      <c r="Q40" s="286"/>
      <c r="R40" s="286"/>
      <c r="S40" s="286"/>
    </row>
    <row r="41" spans="2:19" ht="6" customHeight="1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2:19" ht="15.75" customHeight="1">
      <c r="B42" s="284" t="str">
        <f>'Liquidacion Freddy Perez'!D12</f>
        <v>Seg. Cesantia (0,6 %)</v>
      </c>
      <c r="C42" s="284"/>
      <c r="D42" s="284"/>
      <c r="E42" s="284"/>
      <c r="F42" s="284"/>
      <c r="G42" s="284"/>
      <c r="H42" s="284"/>
      <c r="I42" s="88"/>
      <c r="J42" s="284"/>
      <c r="K42" s="284"/>
      <c r="L42" s="284"/>
      <c r="M42" s="284"/>
      <c r="N42" s="88"/>
      <c r="O42" s="286">
        <f>'Liquidacion Freddy Perez'!E12</f>
        <v>3263</v>
      </c>
      <c r="P42" s="286"/>
      <c r="Q42" s="286"/>
      <c r="R42" s="286"/>
      <c r="S42" s="286"/>
    </row>
    <row r="43" spans="2:19" ht="9" customHeight="1"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</row>
    <row r="44" spans="2:19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</row>
    <row r="45" spans="2:19" ht="18" customHeight="1">
      <c r="B45" s="88"/>
      <c r="C45" s="88"/>
      <c r="D45" s="88"/>
      <c r="E45" s="88"/>
      <c r="F45" s="88"/>
      <c r="G45" s="88"/>
      <c r="H45" s="88"/>
      <c r="I45" s="88"/>
      <c r="J45" s="286">
        <f>'Liquidacion Freddy Perez'!C27</f>
        <v>633875</v>
      </c>
      <c r="K45" s="286"/>
      <c r="L45" s="286"/>
      <c r="M45" s="286"/>
      <c r="N45" s="88"/>
      <c r="O45" s="88"/>
      <c r="P45" s="286">
        <f>'Liquidacion Freddy Perez'!E19</f>
        <v>102030</v>
      </c>
      <c r="Q45" s="286"/>
      <c r="R45" s="286"/>
      <c r="S45" s="286"/>
    </row>
    <row r="46" spans="2:19" ht="3" customHeight="1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</row>
    <row r="47" spans="2:19" ht="6.75" customHeight="1">
      <c r="B47" s="284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88"/>
      <c r="O47" s="284"/>
      <c r="P47" s="284"/>
      <c r="Q47" s="284"/>
      <c r="R47" s="284"/>
      <c r="S47" s="284"/>
    </row>
    <row r="48" spans="2:19">
      <c r="B48" s="88"/>
      <c r="C48" s="88"/>
      <c r="D48" s="88"/>
      <c r="E48" s="88"/>
      <c r="F48" s="88"/>
      <c r="G48" s="88"/>
      <c r="H48" s="88"/>
      <c r="I48" s="88"/>
      <c r="J48" s="286">
        <f>'Liquidacion Freddy Perez'!E27</f>
        <v>531845</v>
      </c>
      <c r="K48" s="286"/>
      <c r="L48" s="286"/>
      <c r="M48" s="286"/>
      <c r="N48" s="286"/>
      <c r="O48" s="286"/>
      <c r="P48" s="286"/>
      <c r="Q48" s="286"/>
      <c r="R48" s="286"/>
      <c r="S48" s="286"/>
    </row>
    <row r="49" spans="2:19" ht="16.5" customHeight="1"/>
    <row r="50" spans="2:19" ht="15.75" customHeight="1">
      <c r="O50" s="285"/>
      <c r="P50" s="285"/>
      <c r="R50" s="285"/>
      <c r="S50" s="285"/>
    </row>
    <row r="51" spans="2:19" ht="6.75" customHeight="1"/>
    <row r="52" spans="2:19" ht="16.5" customHeight="1">
      <c r="B52" s="285"/>
      <c r="C52" s="285"/>
      <c r="D52" s="285"/>
      <c r="E52" s="285"/>
      <c r="O52" s="285"/>
      <c r="P52" s="285"/>
      <c r="Q52" s="285"/>
      <c r="R52" s="285"/>
      <c r="S52" s="285"/>
    </row>
  </sheetData>
  <mergeCells count="44">
    <mergeCell ref="J48:S48"/>
    <mergeCell ref="O50:P50"/>
    <mergeCell ref="R50:S50"/>
    <mergeCell ref="B52:E52"/>
    <mergeCell ref="O52:S52"/>
    <mergeCell ref="B47:M47"/>
    <mergeCell ref="O47:S47"/>
    <mergeCell ref="O36:S36"/>
    <mergeCell ref="B38:H38"/>
    <mergeCell ref="J38:M38"/>
    <mergeCell ref="O38:S38"/>
    <mergeCell ref="B40:H40"/>
    <mergeCell ref="J40:M40"/>
    <mergeCell ref="O40:S40"/>
    <mergeCell ref="B42:H42"/>
    <mergeCell ref="J42:M42"/>
    <mergeCell ref="O42:S42"/>
    <mergeCell ref="J45:M45"/>
    <mergeCell ref="P45:S45"/>
    <mergeCell ref="B30:H30"/>
    <mergeCell ref="J30:M30"/>
    <mergeCell ref="B32:H32"/>
    <mergeCell ref="J32:M32"/>
    <mergeCell ref="B36:H36"/>
    <mergeCell ref="J36:M36"/>
    <mergeCell ref="B28:H28"/>
    <mergeCell ref="J28:M28"/>
    <mergeCell ref="B15:F15"/>
    <mergeCell ref="H15:M15"/>
    <mergeCell ref="O15:S15"/>
    <mergeCell ref="B22:H22"/>
    <mergeCell ref="J22:M22"/>
    <mergeCell ref="O22:S22"/>
    <mergeCell ref="B24:H24"/>
    <mergeCell ref="J24:M24"/>
    <mergeCell ref="O24:S24"/>
    <mergeCell ref="B26:H26"/>
    <mergeCell ref="J26:M26"/>
    <mergeCell ref="D11:H11"/>
    <mergeCell ref="R3:S3"/>
    <mergeCell ref="C8:H8"/>
    <mergeCell ref="B9:C9"/>
    <mergeCell ref="D9:J9"/>
    <mergeCell ref="F10:J10"/>
  </mergeCells>
  <pageMargins left="0.19685039370078741" right="0.19685039370078741" top="0.19685039370078741" bottom="0.19685039370078741" header="0" footer="0"/>
  <pageSetup paperSize="119" scale="97" orientation="portrait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30A6-ADE4-44CB-B17B-BE297E1AB1A7}">
  <dimension ref="B1:T55"/>
  <sheetViews>
    <sheetView topLeftCell="A19" workbookViewId="0">
      <selection activeCell="D39" sqref="D39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10.140625" bestFit="1" customWidth="1"/>
    <col min="7" max="7" width="11" bestFit="1" customWidth="1"/>
    <col min="8" max="8" width="9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tr">
        <f>+J10</f>
        <v>JULIO</v>
      </c>
      <c r="C1" s="2" t="str">
        <f>+CONCATENATE(B1," ",D1)</f>
        <v>JULIO 2022</v>
      </c>
      <c r="D1">
        <f>+'Impto Unico'!C1</f>
        <v>2022</v>
      </c>
    </row>
    <row r="3" spans="2:14">
      <c r="B3" s="4" t="s">
        <v>1</v>
      </c>
      <c r="C3" s="151">
        <v>30</v>
      </c>
      <c r="D3" t="s">
        <v>93</v>
      </c>
      <c r="E3" s="3">
        <v>443187</v>
      </c>
      <c r="F3" t="s">
        <v>142</v>
      </c>
      <c r="G3" s="145">
        <v>350000</v>
      </c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D4" t="s">
        <v>96</v>
      </c>
      <c r="E4" s="73">
        <v>0</v>
      </c>
      <c r="F4" s="6" t="s">
        <v>143</v>
      </c>
      <c r="G4" s="145">
        <f>45*4</f>
        <v>180</v>
      </c>
      <c r="I4" s="4"/>
      <c r="J4" s="7">
        <v>81.599999999999994</v>
      </c>
      <c r="K4" s="7">
        <v>122.6</v>
      </c>
      <c r="L4" s="7">
        <f>+J4</f>
        <v>81.599999999999994</v>
      </c>
      <c r="M4" s="142"/>
      <c r="N4" s="4"/>
    </row>
    <row r="5" spans="2:14">
      <c r="B5" s="4" t="s">
        <v>9</v>
      </c>
      <c r="C5" s="10" t="s">
        <v>10</v>
      </c>
      <c r="E5" s="3">
        <f>+ROUND(E4*I6,0)</f>
        <v>0</v>
      </c>
      <c r="F5" t="s">
        <v>144</v>
      </c>
      <c r="G5" s="146">
        <f>G4*60</f>
        <v>10800</v>
      </c>
      <c r="I5" s="4"/>
      <c r="J5" s="4"/>
      <c r="K5" s="4"/>
      <c r="L5" s="11">
        <f>L4*7%</f>
        <v>5.7119999999999997</v>
      </c>
      <c r="M5" s="143">
        <f>(C8+C12+C11)*25%</f>
        <v>123921.75</v>
      </c>
      <c r="N5" s="4"/>
    </row>
    <row r="6" spans="2:14">
      <c r="B6" s="4" t="s">
        <v>11</v>
      </c>
      <c r="C6" s="12" t="s">
        <v>101</v>
      </c>
      <c r="D6" s="82">
        <v>7.0000000000000007E-2</v>
      </c>
      <c r="E6" s="3">
        <f>+C19*D6</f>
        <v>43372.612500000003</v>
      </c>
      <c r="F6" t="s">
        <v>145</v>
      </c>
      <c r="G6" s="147">
        <f>G3/G5</f>
        <v>32.407407407407405</v>
      </c>
      <c r="I6" s="13">
        <f>+'Impto Unico'!L2</f>
        <v>33417.26</v>
      </c>
      <c r="J6" s="14">
        <f>+J4*$I$6</f>
        <v>2726848.4160000002</v>
      </c>
      <c r="K6" s="14">
        <f>K4*$I$6</f>
        <v>4096956.0759999999</v>
      </c>
      <c r="L6" s="15">
        <f>L5*I6</f>
        <v>190879.38912000001</v>
      </c>
      <c r="M6" s="14">
        <f>(380000*4.75)*(1/12)</f>
        <v>150416.66666666666</v>
      </c>
      <c r="N6" s="16">
        <f>C19-E8-IF((E9+E10)&lt;L6,(E9+E10),L6)-E12-E15-E16</f>
        <v>506281.75</v>
      </c>
    </row>
    <row r="7" spans="2:14" ht="15.75" thickBot="1">
      <c r="C7" s="17"/>
      <c r="D7" s="18"/>
      <c r="F7" t="s">
        <v>146</v>
      </c>
      <c r="G7" s="146">
        <f>60+27</f>
        <v>87</v>
      </c>
      <c r="I7" s="19"/>
      <c r="J7" s="20"/>
      <c r="K7" s="20"/>
      <c r="L7" s="21"/>
      <c r="M7" s="20"/>
      <c r="N7" s="17"/>
    </row>
    <row r="8" spans="2:14">
      <c r="B8" s="22" t="s">
        <v>13</v>
      </c>
      <c r="C8" s="131">
        <f>E3</f>
        <v>443187</v>
      </c>
      <c r="D8" s="152" t="str">
        <f>C6</f>
        <v>UNO</v>
      </c>
      <c r="E8" s="23">
        <f>ROUND(IF(C19&lt;J6,C19*J27,J6*J27),0)</f>
        <v>66236</v>
      </c>
      <c r="G8" s="146">
        <f>G5-G7</f>
        <v>10713</v>
      </c>
      <c r="I8" s="149"/>
      <c r="J8" s="141"/>
    </row>
    <row r="9" spans="2:14">
      <c r="B9" s="24" t="s">
        <v>14</v>
      </c>
      <c r="C9" s="17">
        <f>IF(M5&lt;M6,M5,M6)</f>
        <v>123921.75</v>
      </c>
      <c r="D9" s="24" t="str">
        <f>D4</f>
        <v>FONASA</v>
      </c>
      <c r="E9" s="25">
        <f>+ROUND(IF(L6&lt;=E6,L6,E6),0)</f>
        <v>43373</v>
      </c>
      <c r="G9" s="148">
        <f>G8*G6</f>
        <v>347180.5555555555</v>
      </c>
      <c r="H9" s="74"/>
    </row>
    <row r="10" spans="2:14">
      <c r="B10" s="24"/>
      <c r="C10" s="31"/>
      <c r="D10" s="24" t="s">
        <v>16</v>
      </c>
      <c r="E10" s="26">
        <v>0</v>
      </c>
      <c r="G10">
        <f>G8/60</f>
        <v>178.55</v>
      </c>
      <c r="H10" s="150">
        <f>G10*H11/G11</f>
        <v>29.758333333333333</v>
      </c>
      <c r="J10" s="1" t="str">
        <f>+'Impto Unico'!B1</f>
        <v>JULIO</v>
      </c>
      <c r="K10" t="s">
        <v>18</v>
      </c>
    </row>
    <row r="11" spans="2:14">
      <c r="B11" s="24" t="s">
        <v>137</v>
      </c>
      <c r="C11" s="31">
        <v>52500</v>
      </c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0</v>
      </c>
      <c r="G11">
        <v>180</v>
      </c>
      <c r="H11">
        <v>30</v>
      </c>
      <c r="I11" s="27" t="s">
        <v>20</v>
      </c>
      <c r="J11" s="28">
        <f>+'Impto Unico'!C2</f>
        <v>777019.5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>
      <c r="B12" s="24" t="s">
        <v>137</v>
      </c>
      <c r="C12" s="31">
        <v>0</v>
      </c>
      <c r="D12" s="24" t="s">
        <v>98</v>
      </c>
      <c r="E12" s="25">
        <f>ROUND(IF(C5="INDEFINIDO",(IF(C19&gt;$K$6,($K$6*$M$22),($C$19*M22))),0),0)</f>
        <v>3718</v>
      </c>
      <c r="H12" s="56"/>
      <c r="I12" s="27"/>
      <c r="J12" s="28">
        <f>+'Impto Unico'!C3</f>
        <v>777019.51</v>
      </c>
      <c r="K12" s="28">
        <f>+'Impto Unico'!D3</f>
        <v>1726710</v>
      </c>
      <c r="L12" s="28">
        <f>+'Impto Unico'!E3</f>
        <v>0.04</v>
      </c>
      <c r="M12" s="28">
        <f>+'Impto Unico'!F3</f>
        <v>31080.78</v>
      </c>
      <c r="N12" s="28">
        <f>+'Impto Unico'!G3</f>
        <v>2.1999999999999999E-2</v>
      </c>
    </row>
    <row r="13" spans="2:14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f>+'Impto Unico'!C4</f>
        <v>1726710.01</v>
      </c>
      <c r="K13" s="28">
        <f>+'Impto Unico'!D4</f>
        <v>2877850</v>
      </c>
      <c r="L13" s="28">
        <f>+'Impto Unico'!E4</f>
        <v>0.08</v>
      </c>
      <c r="M13" s="28">
        <f>+'Impto Unico'!F4</f>
        <v>100149.18</v>
      </c>
      <c r="N13" s="28">
        <f>+'Impto Unico'!G4</f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f>+'Impto Unico'!C5</f>
        <v>2877850.01</v>
      </c>
      <c r="K14" s="28">
        <f>+'Impto Unico'!D5</f>
        <v>4028990</v>
      </c>
      <c r="L14" s="28">
        <f>+'Impto Unico'!E5</f>
        <v>0.13500000000000001</v>
      </c>
      <c r="M14" s="28">
        <f>+'Impto Unico'!F5</f>
        <v>258430.93</v>
      </c>
      <c r="N14" s="28">
        <f>+'Impto Unico'!G5</f>
        <v>7.0900000000000005E-2</v>
      </c>
    </row>
    <row r="15" spans="2:14">
      <c r="B15" s="24"/>
      <c r="C15" s="25"/>
      <c r="D15" s="24" t="s">
        <v>28</v>
      </c>
      <c r="E15" s="31"/>
      <c r="G15" s="141">
        <f>C19*J24</f>
        <v>69148.336500000005</v>
      </c>
      <c r="I15" s="27"/>
      <c r="J15" s="28">
        <f>+'Impto Unico'!C6</f>
        <v>4028990.01</v>
      </c>
      <c r="K15" s="28">
        <f>+'Impto Unico'!D6</f>
        <v>5180130</v>
      </c>
      <c r="L15" s="28">
        <f>+'Impto Unico'!E6</f>
        <v>0.23</v>
      </c>
      <c r="M15" s="28">
        <f>+'Impto Unico'!F6</f>
        <v>641184.98</v>
      </c>
      <c r="N15" s="28">
        <f>+'Impto Unico'!G6</f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f>+'Impto Unico'!C7</f>
        <v>5180130.01</v>
      </c>
      <c r="K16" s="28">
        <f>+'Impto Unico'!D7</f>
        <v>6906840</v>
      </c>
      <c r="L16" s="28">
        <f>+'Impto Unico'!E7</f>
        <v>0.30399999999999999</v>
      </c>
      <c r="M16" s="28">
        <f>+'Impto Unico'!F7</f>
        <v>1024514.6</v>
      </c>
      <c r="N16" s="28">
        <f>+'Impto Unico'!G7</f>
        <v>0.15570000000000001</v>
      </c>
    </row>
    <row r="17" spans="2:20">
      <c r="B17" s="24"/>
      <c r="C17" s="25"/>
      <c r="D17" s="24" t="s">
        <v>151</v>
      </c>
      <c r="E17" s="25">
        <v>0</v>
      </c>
      <c r="I17" s="27"/>
      <c r="J17" s="28">
        <f>+'Impto Unico'!C8</f>
        <v>6906840.0099999998</v>
      </c>
      <c r="K17" s="28">
        <f>+'Impto Unico'!D8</f>
        <v>8633550</v>
      </c>
      <c r="L17" s="28">
        <f>+'Impto Unico'!E8</f>
        <v>0.35</v>
      </c>
      <c r="M17" s="28">
        <f>+'Impto Unico'!F8</f>
        <v>1342229.24</v>
      </c>
      <c r="N17" s="28">
        <f>+'Impto Unico'!G8</f>
        <v>0.19450000000000001</v>
      </c>
    </row>
    <row r="18" spans="2:20">
      <c r="B18" s="24"/>
      <c r="C18" s="25"/>
      <c r="D18" s="24"/>
      <c r="E18" s="25"/>
      <c r="I18" s="27"/>
      <c r="J18" s="28">
        <f>+'Impto Unico'!C9</f>
        <v>8633550.0099999998</v>
      </c>
      <c r="K18" s="28" t="str">
        <f>+'Impto Unico'!D9</f>
        <v>Y MÁS</v>
      </c>
      <c r="L18" s="28">
        <f>+'Impto Unico'!E9</f>
        <v>0.4</v>
      </c>
      <c r="M18" s="28">
        <f>+'Impto Unico'!F9</f>
        <v>1773906.74</v>
      </c>
      <c r="N18" s="28" t="str">
        <f>+'Impto Unico'!G9</f>
        <v>MÁS DE 19,45%</v>
      </c>
    </row>
    <row r="19" spans="2:20">
      <c r="B19" s="35" t="s">
        <v>33</v>
      </c>
      <c r="C19" s="36">
        <f>C8+C9+C12-C13+C10+C11</f>
        <v>619608.75</v>
      </c>
      <c r="D19" s="35" t="s">
        <v>34</v>
      </c>
      <c r="E19" s="37">
        <f>SUM(E8:E17)</f>
        <v>113327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99</v>
      </c>
      <c r="C24" s="25">
        <v>50000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>
      <c r="B25" s="24" t="s">
        <v>100</v>
      </c>
      <c r="C25" s="25">
        <v>40000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709608.75</v>
      </c>
      <c r="D27" s="48" t="s">
        <v>46</v>
      </c>
      <c r="E27" s="49">
        <f>C19-E19+C24+C25</f>
        <v>596281.75</v>
      </c>
      <c r="H27" s="74"/>
      <c r="I27" s="4" t="s">
        <v>101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I28" s="4" t="s">
        <v>95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</f>
        <v>596281.75</v>
      </c>
      <c r="I29" s="56"/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2.4E-2</v>
      </c>
      <c r="D32" s="16">
        <f>IF(C19&gt;$K$6,($K$6*$C$32),($C$19*C32))</f>
        <v>14870.61</v>
      </c>
      <c r="G32" s="6"/>
    </row>
    <row r="33" spans="2:10">
      <c r="B33" s="4" t="s">
        <v>123</v>
      </c>
      <c r="C33" s="39">
        <v>9.2999999999999992E-3</v>
      </c>
      <c r="D33" s="16">
        <f>IF(C19&lt;$J$6,C19*$C$33,$J$6*$C$33)</f>
        <v>5762.3613749999995</v>
      </c>
      <c r="E33" s="57"/>
      <c r="G33" s="6"/>
    </row>
    <row r="34" spans="2:10">
      <c r="B34" s="4" t="s">
        <v>51</v>
      </c>
      <c r="C34" s="39">
        <v>1.8599999999999998E-2</v>
      </c>
      <c r="D34" s="58">
        <f>IF(C19&lt;$J$6,C19*$C$34,$J$6*$C$34)</f>
        <v>11524.722749999999</v>
      </c>
      <c r="E34" s="57"/>
      <c r="G34" s="6"/>
    </row>
    <row r="35" spans="2:10">
      <c r="B35" s="7" t="s">
        <v>52</v>
      </c>
      <c r="C35" s="7"/>
      <c r="D35" s="59">
        <f>C27+D32+D33+D34</f>
        <v>741766.44412499992</v>
      </c>
      <c r="E35" s="60"/>
      <c r="G35" s="6"/>
      <c r="I35">
        <f>128/4</f>
        <v>32</v>
      </c>
    </row>
    <row r="36" spans="2:10">
      <c r="B36" s="61"/>
      <c r="C36" s="62"/>
      <c r="E36" s="17"/>
      <c r="G36" s="6"/>
    </row>
    <row r="37" spans="2:10">
      <c r="B37" s="61" t="s">
        <v>102</v>
      </c>
      <c r="C37" s="61" t="s">
        <v>165</v>
      </c>
      <c r="E37" s="17"/>
      <c r="G37" s="6"/>
    </row>
    <row r="38" spans="2:10">
      <c r="B38" t="s">
        <v>104</v>
      </c>
      <c r="C38" s="62" t="s">
        <v>166</v>
      </c>
      <c r="E38" s="17"/>
    </row>
    <row r="39" spans="2:10">
      <c r="B39" s="63" t="s">
        <v>106</v>
      </c>
      <c r="C39" s="62" t="s">
        <v>167</v>
      </c>
      <c r="E39" s="17"/>
    </row>
    <row r="40" spans="2:10">
      <c r="B40" t="s">
        <v>108</v>
      </c>
      <c r="C40" s="144">
        <v>44652</v>
      </c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G44" s="102"/>
      <c r="H44" s="6"/>
      <c r="I44" s="17"/>
    </row>
    <row r="45" spans="2:10">
      <c r="B45" s="61"/>
      <c r="C45" s="69"/>
      <c r="D45" s="125"/>
      <c r="E45" s="17"/>
      <c r="G45" s="102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8BAB-FE82-43E9-AA2F-5C551C766E20}">
  <sheetPr>
    <pageSetUpPr fitToPage="1"/>
  </sheetPr>
  <dimension ref="B3:S52"/>
  <sheetViews>
    <sheetView showGridLines="0" zoomScale="120" zoomScaleNormal="120" zoomScaleSheetLayoutView="90" workbookViewId="0">
      <selection activeCell="D11" sqref="D11:H11"/>
    </sheetView>
  </sheetViews>
  <sheetFormatPr baseColWidth="10" defaultColWidth="11.42578125" defaultRowHeight="15"/>
  <cols>
    <col min="1" max="1" width="7.42578125" customWidth="1"/>
    <col min="2" max="2" width="7.140625" customWidth="1"/>
    <col min="3" max="3" width="2.7109375" customWidth="1"/>
    <col min="4" max="4" width="5.140625" customWidth="1"/>
    <col min="5" max="5" width="4.42578125" customWidth="1"/>
    <col min="6" max="6" width="8.7109375" customWidth="1"/>
    <col min="7" max="7" width="1.28515625" customWidth="1"/>
    <col min="8" max="8" width="7" customWidth="1"/>
    <col min="9" max="9" width="1.42578125" customWidth="1"/>
    <col min="10" max="10" width="4.140625" customWidth="1"/>
    <col min="11" max="11" width="1.7109375" customWidth="1"/>
    <col min="12" max="12" width="9.28515625" customWidth="1"/>
    <col min="13" max="13" width="4.7109375" customWidth="1"/>
    <col min="14" max="14" width="1.28515625" customWidth="1"/>
    <col min="15" max="15" width="1.42578125" customWidth="1"/>
    <col min="16" max="16" width="11.42578125" customWidth="1"/>
    <col min="17" max="17" width="0.7109375" customWidth="1"/>
    <col min="18" max="18" width="7.7109375" customWidth="1"/>
    <col min="19" max="19" width="6.28515625" customWidth="1"/>
    <col min="20" max="20" width="7" customWidth="1"/>
  </cols>
  <sheetData>
    <row r="3" spans="2:19" ht="18.75">
      <c r="J3" s="83"/>
      <c r="K3" s="83"/>
      <c r="L3" s="83"/>
      <c r="M3" s="83"/>
      <c r="R3" s="279" t="str">
        <f>+'Liquidacion Rolando Carrasco'!C1</f>
        <v>JULIO 2022</v>
      </c>
      <c r="S3" s="280"/>
    </row>
    <row r="6" spans="2:19" ht="18.75">
      <c r="B6" s="83" t="s">
        <v>110</v>
      </c>
      <c r="C6" s="83"/>
      <c r="D6" s="83"/>
      <c r="E6" s="83"/>
      <c r="F6" s="83"/>
      <c r="G6" s="83"/>
      <c r="H6" s="83"/>
      <c r="I6" s="83"/>
      <c r="J6" s="83"/>
      <c r="L6" s="83" t="s">
        <v>111</v>
      </c>
      <c r="M6" s="83"/>
    </row>
    <row r="8" spans="2:19" ht="18">
      <c r="B8" s="84"/>
      <c r="C8" s="277" t="str">
        <f>'Liquidacion Osiris Junadette'!C38</f>
        <v>26751252-3</v>
      </c>
      <c r="D8" s="278"/>
      <c r="E8" s="278"/>
      <c r="F8" s="278"/>
      <c r="G8" s="278"/>
      <c r="H8" s="278"/>
      <c r="I8" s="85"/>
      <c r="L8" s="86"/>
      <c r="M8" s="86"/>
      <c r="P8" s="91" t="s">
        <v>112</v>
      </c>
      <c r="S8" s="87"/>
    </row>
    <row r="9" spans="2:19" ht="16.5" customHeight="1">
      <c r="B9" s="281"/>
      <c r="C9" s="281"/>
      <c r="D9" s="282" t="str">
        <f>'Liquidacion Osiris Junadette'!C37</f>
        <v>Osiris Junadette</v>
      </c>
      <c r="E9" s="282"/>
      <c r="F9" s="282"/>
      <c r="G9" s="282"/>
      <c r="H9" s="282"/>
      <c r="I9" s="282"/>
      <c r="J9" s="282"/>
      <c r="L9" s="86"/>
      <c r="M9" s="91" t="s">
        <v>113</v>
      </c>
      <c r="O9" s="86"/>
      <c r="P9" s="86"/>
    </row>
    <row r="10" spans="2:19" ht="17.25" customHeight="1">
      <c r="B10" s="84"/>
      <c r="C10" s="84"/>
      <c r="D10" s="84"/>
      <c r="E10" s="84"/>
      <c r="F10" s="287">
        <f>'Liquidacion Osiris Junadette'!C40</f>
        <v>44652</v>
      </c>
      <c r="G10" s="287"/>
      <c r="H10" s="287"/>
      <c r="I10" s="287"/>
      <c r="J10" s="287"/>
      <c r="L10" s="86"/>
      <c r="M10" s="86"/>
      <c r="N10" s="91" t="s">
        <v>168</v>
      </c>
      <c r="O10" s="86"/>
      <c r="P10" s="92"/>
    </row>
    <row r="11" spans="2:19" ht="16.5" customHeight="1">
      <c r="B11" s="84"/>
      <c r="C11" s="84"/>
      <c r="D11" s="277" t="str">
        <f>'Liquidacion Osiris Junadette'!C39</f>
        <v>aseo</v>
      </c>
      <c r="E11" s="278"/>
      <c r="F11" s="278"/>
      <c r="G11" s="278"/>
      <c r="H11" s="278"/>
      <c r="L11" s="86"/>
      <c r="M11" s="91" t="s">
        <v>115</v>
      </c>
      <c r="O11" s="86"/>
      <c r="P11" s="86"/>
      <c r="Q11" s="86"/>
    </row>
    <row r="12" spans="2:19" ht="27" customHeight="1"/>
    <row r="13" spans="2:19" ht="19.5" customHeight="1"/>
    <row r="14" spans="2:19" ht="4.5" customHeight="1"/>
    <row r="15" spans="2:19" ht="18.75" customHeight="1">
      <c r="B15" s="284">
        <f>'Liquidacion Osiris Junadette'!C3</f>
        <v>30</v>
      </c>
      <c r="C15" s="284"/>
      <c r="D15" s="284"/>
      <c r="E15" s="284"/>
      <c r="F15" s="284"/>
      <c r="G15" s="52"/>
      <c r="H15" s="285"/>
      <c r="I15" s="285"/>
      <c r="J15" s="285"/>
      <c r="K15" s="285"/>
      <c r="L15" s="285"/>
      <c r="M15" s="285"/>
      <c r="O15" s="285"/>
      <c r="P15" s="285"/>
      <c r="Q15" s="285"/>
      <c r="R15" s="285"/>
      <c r="S15" s="285"/>
    </row>
    <row r="16" spans="2:19" ht="19.5" customHeight="1"/>
    <row r="18" spans="2:19" ht="16.5" customHeight="1"/>
    <row r="19" spans="2:19" ht="18.75" customHeight="1">
      <c r="Q19" t="s">
        <v>116</v>
      </c>
    </row>
    <row r="20" spans="2:19" ht="14.25" customHeight="1">
      <c r="B20" s="83" t="s">
        <v>117</v>
      </c>
    </row>
    <row r="21" spans="2:19" ht="8.25" customHeight="1"/>
    <row r="22" spans="2:19" ht="15.75" customHeight="1">
      <c r="B22" s="284" t="str">
        <f>'Liquidacion Osiris Junadette'!B8</f>
        <v>Sueldo base</v>
      </c>
      <c r="C22" s="284"/>
      <c r="D22" s="284"/>
      <c r="E22" s="284"/>
      <c r="F22" s="284"/>
      <c r="G22" s="284"/>
      <c r="H22" s="284"/>
      <c r="I22" s="88"/>
      <c r="J22" s="286">
        <f>'Liquidacion Osiris Junadette'!C8</f>
        <v>443187</v>
      </c>
      <c r="K22" s="286"/>
      <c r="L22" s="286"/>
      <c r="M22" s="286"/>
      <c r="N22" s="88"/>
      <c r="O22" s="284"/>
      <c r="P22" s="284"/>
      <c r="Q22" s="284"/>
      <c r="R22" s="284"/>
      <c r="S22" s="284"/>
    </row>
    <row r="23" spans="2:19" ht="4.5" customHeight="1">
      <c r="B23" s="88"/>
      <c r="C23" s="88"/>
      <c r="D23" s="88"/>
      <c r="E23" s="88"/>
      <c r="F23" s="88"/>
      <c r="G23" s="88"/>
      <c r="H23" s="88"/>
      <c r="I23" s="88"/>
      <c r="J23" s="89"/>
      <c r="K23" s="89"/>
      <c r="L23" s="89"/>
      <c r="M23" s="89"/>
      <c r="N23" s="88"/>
      <c r="O23" s="88"/>
      <c r="P23" s="88"/>
      <c r="Q23" s="88"/>
      <c r="R23" s="88"/>
      <c r="S23" s="88"/>
    </row>
    <row r="24" spans="2:19" ht="15.75" customHeight="1">
      <c r="B24" s="284" t="str">
        <f>'Liquidacion Osiris Junadette'!B9</f>
        <v>Gratificación</v>
      </c>
      <c r="C24" s="284"/>
      <c r="D24" s="284"/>
      <c r="E24" s="284"/>
      <c r="F24" s="284"/>
      <c r="G24" s="284"/>
      <c r="H24" s="284"/>
      <c r="I24" s="88"/>
      <c r="J24" s="286">
        <f>'Liquidacion Osiris Junadette'!C9</f>
        <v>123921.75</v>
      </c>
      <c r="K24" s="286"/>
      <c r="L24" s="286"/>
      <c r="M24" s="286"/>
      <c r="N24" s="88"/>
      <c r="O24" s="284"/>
      <c r="P24" s="284"/>
      <c r="Q24" s="284"/>
      <c r="R24" s="284"/>
      <c r="S24" s="284"/>
    </row>
    <row r="25" spans="2:19" ht="4.5" customHeight="1">
      <c r="B25" s="100"/>
      <c r="C25" s="100"/>
      <c r="D25" s="100"/>
      <c r="E25" s="100"/>
      <c r="F25" s="100"/>
      <c r="G25" s="100"/>
      <c r="H25" s="100"/>
      <c r="I25" s="88"/>
      <c r="J25" s="99"/>
      <c r="K25" s="99"/>
      <c r="L25" s="99"/>
      <c r="M25" s="99"/>
      <c r="N25" s="88"/>
      <c r="O25" s="100"/>
      <c r="P25" s="100"/>
      <c r="Q25" s="100"/>
      <c r="R25" s="100"/>
      <c r="S25" s="100"/>
    </row>
    <row r="26" spans="2:19" ht="15.75" customHeight="1">
      <c r="B26" s="284" t="str">
        <f>'Liquidacion Osiris Junadette'!B24</f>
        <v>Colación</v>
      </c>
      <c r="C26" s="284"/>
      <c r="D26" s="284"/>
      <c r="E26" s="284"/>
      <c r="F26" s="284"/>
      <c r="G26" s="284"/>
      <c r="H26" s="284"/>
      <c r="I26" s="88"/>
      <c r="J26" s="286">
        <f>'Liquidacion Osiris Junadette'!C24</f>
        <v>50000</v>
      </c>
      <c r="K26" s="286"/>
      <c r="L26" s="286"/>
      <c r="M26" s="286"/>
      <c r="N26" s="88"/>
      <c r="O26" s="100"/>
      <c r="P26" s="100"/>
      <c r="Q26" s="100"/>
      <c r="R26" s="100"/>
      <c r="S26" s="100"/>
    </row>
    <row r="27" spans="2:19" ht="6" customHeight="1">
      <c r="B27" s="100"/>
      <c r="C27" s="100"/>
      <c r="D27" s="100"/>
      <c r="E27" s="100"/>
      <c r="F27" s="100"/>
      <c r="G27" s="100"/>
      <c r="H27" s="100"/>
      <c r="I27" s="88"/>
      <c r="J27" s="99"/>
      <c r="K27" s="99"/>
      <c r="L27" s="99"/>
      <c r="M27" s="99"/>
      <c r="N27" s="88"/>
      <c r="O27" s="100"/>
      <c r="P27" s="100"/>
      <c r="Q27" s="100"/>
      <c r="R27" s="100"/>
      <c r="S27" s="100"/>
    </row>
    <row r="28" spans="2:19" ht="15.6" customHeight="1">
      <c r="B28" s="284" t="str">
        <f>'Liquidacion Osiris Junadette'!B25</f>
        <v>Movilización</v>
      </c>
      <c r="C28" s="284"/>
      <c r="D28" s="284"/>
      <c r="E28" s="284"/>
      <c r="F28" s="284"/>
      <c r="G28" s="284"/>
      <c r="H28" s="284"/>
      <c r="I28" s="88"/>
      <c r="J28" s="286">
        <f>'Liquidacion Osiris Junadette'!C25</f>
        <v>40000</v>
      </c>
      <c r="K28" s="286"/>
      <c r="L28" s="286"/>
      <c r="M28" s="286"/>
      <c r="N28" s="88"/>
      <c r="O28" s="100"/>
      <c r="P28" s="100"/>
      <c r="Q28" s="100"/>
      <c r="R28" s="100"/>
      <c r="S28" s="100"/>
    </row>
    <row r="29" spans="2:19" ht="4.3499999999999996" customHeight="1">
      <c r="B29" s="100"/>
      <c r="C29" s="100"/>
      <c r="D29" s="100"/>
      <c r="E29" s="100"/>
      <c r="F29" s="100"/>
      <c r="G29" s="100"/>
      <c r="H29" s="100"/>
      <c r="I29" s="88"/>
      <c r="J29" s="99"/>
      <c r="K29" s="99"/>
      <c r="L29" s="99"/>
      <c r="M29" s="99"/>
      <c r="N29" s="88"/>
      <c r="O29" s="100"/>
      <c r="P29" s="100"/>
      <c r="Q29" s="100"/>
      <c r="R29" s="100"/>
      <c r="S29" s="100"/>
    </row>
    <row r="30" spans="2:19" ht="15.6" customHeight="1">
      <c r="B30" s="284" t="str">
        <f>'Liquidacion Osiris Junadette'!B11</f>
        <v>Bono Responsabilidad</v>
      </c>
      <c r="C30" s="284"/>
      <c r="D30" s="284"/>
      <c r="E30" s="284"/>
      <c r="F30" s="284"/>
      <c r="G30" s="284"/>
      <c r="H30" s="284"/>
      <c r="I30" s="88"/>
      <c r="J30" s="286">
        <f>'Liquidacion Osiris Junadette'!C11</f>
        <v>52500</v>
      </c>
      <c r="K30" s="286"/>
      <c r="L30" s="286"/>
      <c r="M30" s="286"/>
      <c r="N30" s="88"/>
      <c r="O30" s="100"/>
      <c r="P30" s="100"/>
      <c r="Q30" s="100"/>
      <c r="R30" s="100"/>
      <c r="S30" s="100"/>
    </row>
    <row r="31" spans="2:19" ht="8.4499999999999993" customHeight="1">
      <c r="B31" s="100"/>
      <c r="C31" s="100"/>
      <c r="D31" s="100"/>
      <c r="E31" s="100"/>
      <c r="F31" s="100"/>
      <c r="G31" s="100"/>
      <c r="H31" s="100"/>
      <c r="I31" s="88"/>
      <c r="J31" s="99"/>
      <c r="K31" s="99"/>
      <c r="L31" s="99"/>
      <c r="M31" s="99"/>
      <c r="N31" s="88"/>
      <c r="O31" s="100"/>
      <c r="P31" s="100"/>
      <c r="Q31" s="100"/>
      <c r="R31" s="100"/>
      <c r="S31" s="100"/>
    </row>
    <row r="32" spans="2:19" ht="15.6" customHeight="1">
      <c r="B32" s="284"/>
      <c r="C32" s="284"/>
      <c r="D32" s="284"/>
      <c r="E32" s="284"/>
      <c r="F32" s="284"/>
      <c r="G32" s="284"/>
      <c r="H32" s="284"/>
      <c r="I32" s="88"/>
      <c r="J32" s="286"/>
      <c r="K32" s="286"/>
      <c r="L32" s="286"/>
      <c r="M32" s="286"/>
      <c r="N32" s="88"/>
      <c r="O32" s="100"/>
      <c r="P32" s="100"/>
      <c r="Q32" s="100"/>
      <c r="R32" s="100"/>
      <c r="S32" s="100"/>
    </row>
    <row r="33" spans="2:19" ht="14.25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2:19" ht="18.75">
      <c r="B34" s="90" t="s">
        <v>118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</row>
    <row r="35" spans="2:19" ht="6.75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</row>
    <row r="36" spans="2:19" ht="15.75" customHeight="1">
      <c r="B36" s="284" t="str">
        <f>'Liquidacion Osiris Junadette'!C6</f>
        <v>UNO</v>
      </c>
      <c r="C36" s="284"/>
      <c r="D36" s="284"/>
      <c r="E36" s="284"/>
      <c r="F36" s="284"/>
      <c r="G36" s="284"/>
      <c r="H36" s="284"/>
      <c r="I36" s="88"/>
      <c r="J36" s="284"/>
      <c r="K36" s="284"/>
      <c r="L36" s="284"/>
      <c r="M36" s="284"/>
      <c r="N36" s="88"/>
      <c r="O36" s="286">
        <f>'Liquidacion Osiris Junadette'!E8</f>
        <v>66236</v>
      </c>
      <c r="P36" s="286"/>
      <c r="Q36" s="286"/>
      <c r="R36" s="286"/>
      <c r="S36" s="286"/>
    </row>
    <row r="37" spans="2:19" ht="6" customHeight="1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  <c r="P37" s="89"/>
      <c r="Q37" s="89"/>
      <c r="R37" s="89"/>
      <c r="S37" s="89"/>
    </row>
    <row r="38" spans="2:19" ht="15.75" customHeight="1">
      <c r="B38" s="284" t="str">
        <f>'Liquidacion Osiris Junadette'!D4</f>
        <v>FONASA</v>
      </c>
      <c r="C38" s="284"/>
      <c r="D38" s="284"/>
      <c r="E38" s="284"/>
      <c r="F38" s="284"/>
      <c r="G38" s="284"/>
      <c r="H38" s="284"/>
      <c r="I38" s="88"/>
      <c r="J38" s="284"/>
      <c r="K38" s="284"/>
      <c r="L38" s="284"/>
      <c r="M38" s="284"/>
      <c r="N38" s="88"/>
      <c r="O38" s="286">
        <f>'Liquidacion Osiris Junadette'!E9</f>
        <v>43373</v>
      </c>
      <c r="P38" s="286"/>
      <c r="Q38" s="286"/>
      <c r="R38" s="286"/>
      <c r="S38" s="286"/>
    </row>
    <row r="39" spans="2:19" ht="5.0999999999999996" customHeight="1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9"/>
      <c r="P39" s="89"/>
      <c r="Q39" s="89"/>
      <c r="R39" s="89"/>
      <c r="S39" s="89"/>
    </row>
    <row r="40" spans="2:19" ht="15" customHeight="1">
      <c r="B40" s="284" t="str">
        <f>'Liquidacion Osiris Junadette'!D11</f>
        <v>Impuesto Unico</v>
      </c>
      <c r="C40" s="284"/>
      <c r="D40" s="284"/>
      <c r="E40" s="284"/>
      <c r="F40" s="284"/>
      <c r="G40" s="284"/>
      <c r="H40" s="284"/>
      <c r="I40" s="88"/>
      <c r="J40" s="284"/>
      <c r="K40" s="284"/>
      <c r="L40" s="284"/>
      <c r="M40" s="284"/>
      <c r="N40" s="88"/>
      <c r="O40" s="286">
        <f>'Liquidacion Osiris Junadette'!E11</f>
        <v>0</v>
      </c>
      <c r="P40" s="286"/>
      <c r="Q40" s="286"/>
      <c r="R40" s="286"/>
      <c r="S40" s="286"/>
    </row>
    <row r="41" spans="2:19" ht="6" customHeight="1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2:19" ht="15.75" customHeight="1">
      <c r="B42" s="284" t="str">
        <f>'Liquidacion Osiris Junadette'!D12</f>
        <v>Seg. Cesantia (0,6 %)</v>
      </c>
      <c r="C42" s="284"/>
      <c r="D42" s="284"/>
      <c r="E42" s="284"/>
      <c r="F42" s="284"/>
      <c r="G42" s="284"/>
      <c r="H42" s="284"/>
      <c r="I42" s="88"/>
      <c r="J42" s="284"/>
      <c r="K42" s="284"/>
      <c r="L42" s="284"/>
      <c r="M42" s="284"/>
      <c r="N42" s="88"/>
      <c r="O42" s="286">
        <f>'Liquidacion Osiris Junadette'!E12</f>
        <v>3718</v>
      </c>
      <c r="P42" s="286"/>
      <c r="Q42" s="286"/>
      <c r="R42" s="286"/>
      <c r="S42" s="286"/>
    </row>
    <row r="43" spans="2:19" ht="9" customHeight="1"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</row>
    <row r="44" spans="2:19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</row>
    <row r="45" spans="2:19" ht="18" customHeight="1">
      <c r="B45" s="88"/>
      <c r="C45" s="88"/>
      <c r="D45" s="88"/>
      <c r="E45" s="88"/>
      <c r="F45" s="88"/>
      <c r="G45" s="88"/>
      <c r="H45" s="88"/>
      <c r="I45" s="88"/>
      <c r="J45" s="286">
        <f>'Liquidacion Osiris Junadette'!C27</f>
        <v>709608.75</v>
      </c>
      <c r="K45" s="286"/>
      <c r="L45" s="286"/>
      <c r="M45" s="286"/>
      <c r="N45" s="88"/>
      <c r="O45" s="88"/>
      <c r="P45" s="286">
        <f>'Liquidacion Osiris Junadette'!E19</f>
        <v>113327</v>
      </c>
      <c r="Q45" s="286"/>
      <c r="R45" s="286"/>
      <c r="S45" s="286"/>
    </row>
    <row r="46" spans="2:19" ht="3" customHeight="1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</row>
    <row r="47" spans="2:19" ht="6.75" customHeight="1">
      <c r="B47" s="284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88"/>
      <c r="O47" s="284"/>
      <c r="P47" s="284"/>
      <c r="Q47" s="284"/>
      <c r="R47" s="284"/>
      <c r="S47" s="284"/>
    </row>
    <row r="48" spans="2:19">
      <c r="B48" s="88"/>
      <c r="C48" s="88"/>
      <c r="D48" s="88"/>
      <c r="E48" s="88"/>
      <c r="F48" s="88"/>
      <c r="G48" s="88"/>
      <c r="H48" s="88"/>
      <c r="I48" s="88"/>
      <c r="J48" s="286">
        <f>'Liquidacion Osiris Junadette'!E27</f>
        <v>596281.75</v>
      </c>
      <c r="K48" s="286"/>
      <c r="L48" s="286"/>
      <c r="M48" s="286"/>
      <c r="N48" s="286"/>
      <c r="O48" s="286"/>
      <c r="P48" s="286"/>
      <c r="Q48" s="286"/>
      <c r="R48" s="286"/>
      <c r="S48" s="286"/>
    </row>
    <row r="49" spans="2:19" ht="16.5" customHeight="1"/>
    <row r="50" spans="2:19" ht="15.75" customHeight="1">
      <c r="O50" s="285"/>
      <c r="P50" s="285"/>
      <c r="R50" s="285"/>
      <c r="S50" s="285"/>
    </row>
    <row r="51" spans="2:19" ht="6.75" customHeight="1"/>
    <row r="52" spans="2:19" ht="16.5" customHeight="1">
      <c r="B52" s="285"/>
      <c r="C52" s="285"/>
      <c r="D52" s="285"/>
      <c r="E52" s="285"/>
      <c r="O52" s="285"/>
      <c r="P52" s="285"/>
      <c r="Q52" s="285"/>
      <c r="R52" s="285"/>
      <c r="S52" s="285"/>
    </row>
  </sheetData>
  <mergeCells count="44">
    <mergeCell ref="J48:S48"/>
    <mergeCell ref="O50:P50"/>
    <mergeCell ref="R50:S50"/>
    <mergeCell ref="B52:E52"/>
    <mergeCell ref="O52:S52"/>
    <mergeCell ref="B47:M47"/>
    <mergeCell ref="O47:S47"/>
    <mergeCell ref="O36:S36"/>
    <mergeCell ref="B38:H38"/>
    <mergeCell ref="J38:M38"/>
    <mergeCell ref="O38:S38"/>
    <mergeCell ref="B40:H40"/>
    <mergeCell ref="J40:M40"/>
    <mergeCell ref="O40:S40"/>
    <mergeCell ref="B42:H42"/>
    <mergeCell ref="J42:M42"/>
    <mergeCell ref="O42:S42"/>
    <mergeCell ref="J45:M45"/>
    <mergeCell ref="P45:S45"/>
    <mergeCell ref="B30:H30"/>
    <mergeCell ref="J30:M30"/>
    <mergeCell ref="B32:H32"/>
    <mergeCell ref="J32:M32"/>
    <mergeCell ref="B36:H36"/>
    <mergeCell ref="J36:M36"/>
    <mergeCell ref="B28:H28"/>
    <mergeCell ref="J28:M28"/>
    <mergeCell ref="B15:F15"/>
    <mergeCell ref="H15:M15"/>
    <mergeCell ref="O15:S15"/>
    <mergeCell ref="B22:H22"/>
    <mergeCell ref="J22:M22"/>
    <mergeCell ref="O22:S22"/>
    <mergeCell ref="B24:H24"/>
    <mergeCell ref="J24:M24"/>
    <mergeCell ref="O24:S24"/>
    <mergeCell ref="B26:H26"/>
    <mergeCell ref="J26:M26"/>
    <mergeCell ref="D11:H11"/>
    <mergeCell ref="R3:S3"/>
    <mergeCell ref="C8:H8"/>
    <mergeCell ref="B9:C9"/>
    <mergeCell ref="D9:J9"/>
    <mergeCell ref="F10:J10"/>
  </mergeCells>
  <pageMargins left="0.19685039370078741" right="0.19685039370078741" top="0.19685039370078741" bottom="0.19685039370078741" header="0" footer="0"/>
  <pageSetup paperSize="119" scale="95"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5AB4-3281-4CE9-9664-8FA70F90F4D8}">
  <dimension ref="A1:BO56"/>
  <sheetViews>
    <sheetView zoomScale="80" zoomScaleNormal="80" workbookViewId="0">
      <selection activeCell="I14" sqref="I14"/>
    </sheetView>
  </sheetViews>
  <sheetFormatPr baseColWidth="10" defaultColWidth="11.42578125" defaultRowHeight="15" outlineLevelCol="1"/>
  <cols>
    <col min="1" max="1" width="1" style="132" customWidth="1"/>
    <col min="2" max="2" width="4.42578125" style="132" customWidth="1"/>
    <col min="3" max="3" width="21.7109375" style="134" bestFit="1" customWidth="1"/>
    <col min="4" max="4" width="19.7109375" style="134" hidden="1" customWidth="1"/>
    <col min="5" max="5" width="18.42578125" style="139" bestFit="1" customWidth="1"/>
    <col min="6" max="6" width="26.42578125" style="134" bestFit="1" customWidth="1"/>
    <col min="7" max="7" width="22.28515625" style="134" customWidth="1"/>
    <col min="8" max="10" width="12.7109375" style="134" customWidth="1"/>
    <col min="11" max="11" width="12.28515625" style="134" bestFit="1" customWidth="1"/>
    <col min="12" max="12" width="12.7109375" style="134" customWidth="1"/>
    <col min="13" max="13" width="9.85546875" style="134" customWidth="1"/>
    <col min="14" max="14" width="11.42578125" style="134" bestFit="1"/>
    <col min="15" max="15" width="7.85546875" style="134" bestFit="1" customWidth="1"/>
    <col min="16" max="16" width="9.7109375" style="134" customWidth="1"/>
    <col min="17" max="17" width="12.140625" style="134" bestFit="1" customWidth="1"/>
    <col min="18" max="18" width="12" style="134" bestFit="1" customWidth="1"/>
    <col min="19" max="19" width="13.140625" style="134" customWidth="1"/>
    <col min="20" max="20" width="11.42578125" style="134"/>
    <col min="21" max="21" width="16.85546875" style="140" bestFit="1" customWidth="1"/>
    <col min="22" max="22" width="12.42578125" style="140" bestFit="1" customWidth="1"/>
    <col min="23" max="23" width="11.7109375" style="140" bestFit="1" customWidth="1"/>
    <col min="24" max="24" width="11.42578125" style="140" bestFit="1" customWidth="1"/>
    <col min="25" max="27" width="11.42578125" style="140"/>
    <col min="28" max="28" width="12.85546875" style="140" bestFit="1" customWidth="1"/>
    <col min="29" max="30" width="11.42578125" style="140" bestFit="1" customWidth="1"/>
    <col min="31" max="31" width="12.28515625" style="140" bestFit="1" customWidth="1"/>
    <col min="32" max="32" width="8.28515625" style="140" customWidth="1"/>
    <col min="33" max="33" width="9.7109375" style="140" bestFit="1" customWidth="1"/>
    <col min="34" max="34" width="11.42578125" style="231" customWidth="1"/>
    <col min="35" max="35" width="13" style="140" customWidth="1"/>
    <col min="36" max="36" width="19.140625" style="231" bestFit="1" customWidth="1"/>
    <col min="37" max="40" width="11.42578125" style="140" customWidth="1"/>
    <col min="41" max="41" width="12" style="140" customWidth="1"/>
    <col min="42" max="42" width="11.42578125" style="134" customWidth="1"/>
    <col min="43" max="43" width="11.42578125" style="134"/>
    <col min="44" max="44" width="11.42578125" style="134" bestFit="1" customWidth="1"/>
    <col min="45" max="49" width="11.42578125" style="134" customWidth="1"/>
    <col min="50" max="51" width="12.28515625" style="132" bestFit="1" customWidth="1"/>
    <col min="52" max="52" width="23.85546875" style="132" customWidth="1"/>
    <col min="53" max="53" width="20.7109375" style="132" bestFit="1" customWidth="1"/>
    <col min="54" max="54" width="11.42578125" style="132"/>
    <col min="55" max="55" width="25" style="132" bestFit="1" customWidth="1"/>
    <col min="56" max="57" width="11.42578125" style="132"/>
    <col min="58" max="58" width="11.42578125" style="132" customWidth="1"/>
    <col min="59" max="59" width="11.42578125" style="132" hidden="1" customWidth="1" outlineLevel="1"/>
    <col min="60" max="60" width="0" style="132" hidden="1" customWidth="1" outlineLevel="1"/>
    <col min="61" max="61" width="11.42578125" style="132" collapsed="1"/>
    <col min="62" max="67" width="11.42578125" style="132"/>
    <col min="68" max="16384" width="11.42578125" style="134"/>
  </cols>
  <sheetData>
    <row r="1" spans="1:67" ht="17.100000000000001" customHeight="1">
      <c r="B1" s="133" t="s">
        <v>169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222"/>
      <c r="AI1" s="133"/>
      <c r="AJ1" s="222"/>
      <c r="AK1" s="133"/>
      <c r="AL1" s="133"/>
      <c r="AM1" s="133"/>
      <c r="AN1" s="133"/>
      <c r="AO1" s="133"/>
      <c r="AP1" s="133"/>
      <c r="AQ1" s="133"/>
    </row>
    <row r="2" spans="1:67" ht="17.100000000000001" customHeight="1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222"/>
      <c r="AI2" s="133"/>
      <c r="AJ2" s="222"/>
      <c r="AK2" s="133"/>
      <c r="AL2" s="133"/>
      <c r="AM2" s="133"/>
      <c r="AN2" s="133"/>
      <c r="AO2" s="133"/>
      <c r="AP2" s="133"/>
      <c r="AQ2" s="133"/>
    </row>
    <row r="3" spans="1:67" ht="17.100000000000001" customHeight="1"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222"/>
      <c r="AI3" s="133"/>
      <c r="AJ3" s="222"/>
      <c r="AK3" s="133"/>
      <c r="AL3" s="133"/>
      <c r="AM3" s="133"/>
      <c r="AN3" s="133"/>
      <c r="AO3" s="133"/>
      <c r="AP3" s="133"/>
      <c r="AQ3" s="133"/>
    </row>
    <row r="4" spans="1:67" ht="15" customHeight="1">
      <c r="B4" s="134"/>
      <c r="E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223"/>
      <c r="AI4" s="134"/>
      <c r="AJ4" s="223"/>
      <c r="AK4" s="134"/>
      <c r="AL4" s="134"/>
      <c r="AM4" s="134"/>
      <c r="AN4" s="134"/>
      <c r="AO4" s="134"/>
    </row>
    <row r="5" spans="1:67">
      <c r="B5" s="134"/>
      <c r="E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223"/>
      <c r="AI5" s="134"/>
      <c r="AJ5" s="223"/>
      <c r="AK5" s="134"/>
      <c r="AL5" s="134"/>
      <c r="AM5" s="134"/>
      <c r="AN5" s="134"/>
      <c r="AO5" s="134"/>
    </row>
    <row r="6" spans="1:67" s="132" customFormat="1" ht="15.75" thickBot="1">
      <c r="U6" s="132" t="s">
        <v>170</v>
      </c>
      <c r="Z6" s="138"/>
      <c r="AA6" s="138"/>
      <c r="AB6" s="138"/>
      <c r="AC6" s="132" t="s">
        <v>171</v>
      </c>
      <c r="AH6" s="178" t="s">
        <v>172</v>
      </c>
      <c r="AJ6" s="178"/>
      <c r="AU6" s="132" t="s">
        <v>173</v>
      </c>
      <c r="BC6" s="245" t="s">
        <v>216</v>
      </c>
      <c r="BD6" s="246">
        <v>6.4500000000000002E-2</v>
      </c>
      <c r="BE6" s="246">
        <v>5.4999999999999997E-3</v>
      </c>
      <c r="BG6" s="132" t="s">
        <v>219</v>
      </c>
    </row>
    <row r="7" spans="1:67" s="132" customFormat="1" ht="78.75">
      <c r="C7" s="173" t="s">
        <v>64</v>
      </c>
      <c r="D7" s="174"/>
      <c r="E7" s="174" t="s">
        <v>174</v>
      </c>
      <c r="F7" s="174" t="s">
        <v>175</v>
      </c>
      <c r="G7" s="174" t="s">
        <v>9</v>
      </c>
      <c r="H7" s="174" t="s">
        <v>11</v>
      </c>
      <c r="I7" s="174" t="s">
        <v>15</v>
      </c>
      <c r="J7" s="167" t="s">
        <v>108</v>
      </c>
      <c r="L7" s="174" t="s">
        <v>176</v>
      </c>
      <c r="M7" s="167" t="s">
        <v>177</v>
      </c>
      <c r="N7" s="167" t="s">
        <v>178</v>
      </c>
      <c r="O7" s="167" t="s">
        <v>179</v>
      </c>
      <c r="P7" s="167" t="s">
        <v>180</v>
      </c>
      <c r="Q7" s="167" t="s">
        <v>181</v>
      </c>
      <c r="R7" s="167" t="s">
        <v>182</v>
      </c>
      <c r="S7" s="167" t="s">
        <v>183</v>
      </c>
      <c r="T7" s="196" t="s">
        <v>184</v>
      </c>
      <c r="U7" s="161" t="s">
        <v>185</v>
      </c>
      <c r="V7" s="162" t="s">
        <v>186</v>
      </c>
      <c r="W7" s="162" t="s">
        <v>187</v>
      </c>
      <c r="X7" s="162" t="s">
        <v>137</v>
      </c>
      <c r="Y7" s="162" t="s">
        <v>188</v>
      </c>
      <c r="Z7" s="162" t="s">
        <v>189</v>
      </c>
      <c r="AA7" s="162" t="s">
        <v>190</v>
      </c>
      <c r="AB7" s="163" t="s">
        <v>65</v>
      </c>
      <c r="AC7" s="205" t="s">
        <v>99</v>
      </c>
      <c r="AD7" s="162" t="s">
        <v>100</v>
      </c>
      <c r="AE7" s="162" t="s">
        <v>191</v>
      </c>
      <c r="AF7" s="162" t="s">
        <v>192</v>
      </c>
      <c r="AG7" s="163" t="s">
        <v>65</v>
      </c>
      <c r="AH7" s="232" t="s">
        <v>11</v>
      </c>
      <c r="AI7" s="162" t="s">
        <v>193</v>
      </c>
      <c r="AJ7" s="224" t="s">
        <v>15</v>
      </c>
      <c r="AK7" s="162" t="s">
        <v>194</v>
      </c>
      <c r="AL7" s="162" t="s">
        <v>195</v>
      </c>
      <c r="AM7" s="162" t="s">
        <v>196</v>
      </c>
      <c r="AN7" s="163" t="s">
        <v>34</v>
      </c>
      <c r="AO7" s="212" t="s">
        <v>197</v>
      </c>
      <c r="AP7" s="162" t="s">
        <v>151</v>
      </c>
      <c r="AQ7" s="167" t="s">
        <v>198</v>
      </c>
      <c r="AR7" s="167" t="s">
        <v>199</v>
      </c>
      <c r="AS7" s="175" t="s">
        <v>65</v>
      </c>
      <c r="AT7" s="214" t="s">
        <v>200</v>
      </c>
      <c r="AU7" s="166" t="s">
        <v>196</v>
      </c>
      <c r="AV7" s="167" t="s">
        <v>123</v>
      </c>
      <c r="AW7" s="167" t="s">
        <v>51</v>
      </c>
      <c r="AX7" s="175" t="s">
        <v>65</v>
      </c>
      <c r="AY7" s="219" t="s">
        <v>201</v>
      </c>
      <c r="AZ7" s="219" t="s">
        <v>64</v>
      </c>
      <c r="BA7" s="219" t="s">
        <v>11</v>
      </c>
      <c r="BB7" s="219" t="s">
        <v>65</v>
      </c>
      <c r="BC7" s="219" t="s">
        <v>15</v>
      </c>
      <c r="BD7" s="219" t="s">
        <v>217</v>
      </c>
      <c r="BE7" s="219" t="s">
        <v>96</v>
      </c>
      <c r="BF7" s="219" t="s">
        <v>218</v>
      </c>
      <c r="BG7" s="252">
        <v>7.0000000000000007E-2</v>
      </c>
      <c r="BH7" s="219" t="s">
        <v>220</v>
      </c>
      <c r="BI7" s="219" t="s">
        <v>221</v>
      </c>
      <c r="BJ7" s="219" t="s">
        <v>123</v>
      </c>
      <c r="BK7" s="219"/>
      <c r="BL7" s="219"/>
      <c r="BM7" s="219"/>
      <c r="BN7" s="219"/>
      <c r="BO7" s="219"/>
    </row>
    <row r="8" spans="1:67">
      <c r="A8" s="134"/>
      <c r="B8" s="134"/>
      <c r="C8" s="176" t="s">
        <v>124</v>
      </c>
      <c r="D8" s="153"/>
      <c r="E8" s="155" t="s">
        <v>125</v>
      </c>
      <c r="F8" s="155" t="s">
        <v>126</v>
      </c>
      <c r="G8" s="155"/>
      <c r="H8" s="155"/>
      <c r="I8" s="155"/>
      <c r="J8" s="155"/>
      <c r="K8" s="184">
        <f>'Liquidacion Filip Carrasco'!C40</f>
        <v>0</v>
      </c>
      <c r="L8" s="155" t="s">
        <v>202</v>
      </c>
      <c r="M8" s="153"/>
      <c r="N8" s="153"/>
      <c r="O8" s="153"/>
      <c r="P8" s="153"/>
      <c r="Q8" s="156"/>
      <c r="R8" s="153"/>
      <c r="S8" s="157">
        <f>+Q8+R8</f>
        <v>0</v>
      </c>
      <c r="T8" s="197"/>
      <c r="U8" s="168">
        <v>1135354</v>
      </c>
      <c r="V8" s="158" t="s">
        <v>203</v>
      </c>
      <c r="W8" s="158" t="s">
        <v>203</v>
      </c>
      <c r="X8" s="135" t="s">
        <v>203</v>
      </c>
      <c r="Y8" s="158" t="s">
        <v>203</v>
      </c>
      <c r="Z8" s="158">
        <f>'Liquidacion Filip Carrasco'!C9</f>
        <v>150416.66666666666</v>
      </c>
      <c r="AA8" s="158"/>
      <c r="AB8" s="171">
        <f>SUM(U8:Z8)</f>
        <v>1285770.6666666667</v>
      </c>
      <c r="AC8" s="188">
        <v>50000</v>
      </c>
      <c r="AD8" s="135">
        <v>50000</v>
      </c>
      <c r="AE8" s="135">
        <v>0</v>
      </c>
      <c r="AF8" s="135">
        <v>0</v>
      </c>
      <c r="AG8" s="164">
        <f>SUM(AC8:AF8)</f>
        <v>100000</v>
      </c>
      <c r="AH8" s="233" t="str">
        <f>'Liquidacion Filip Carrasco'!C6</f>
        <v>Habitat</v>
      </c>
      <c r="AI8" s="135">
        <f>'Liquidacion Filip Carrasco'!E8</f>
        <v>144906</v>
      </c>
      <c r="AJ8" s="225" t="str">
        <f>'Liquidacion Filip Carrasco'!D4</f>
        <v>ISAPRE Nueva Masvida</v>
      </c>
      <c r="AK8" s="135">
        <f>'Liquidacion Filip Carrasco'!E10+'Liquidacion Filip Carrasco'!E9</f>
        <v>173603</v>
      </c>
      <c r="AL8" s="135">
        <f>'Liquidacion Filip Carrasco'!E11</f>
        <v>7301</v>
      </c>
      <c r="AM8" s="135">
        <f>'Liquidacion Filip Carrasco'!E12</f>
        <v>7715</v>
      </c>
      <c r="AN8" s="164">
        <f>AM8+AL8+AK8+AI8</f>
        <v>333525</v>
      </c>
      <c r="AO8" s="203"/>
      <c r="AP8" s="155"/>
      <c r="AQ8" s="155">
        <f>'Liquidacion Filip Carrasco'!E13</f>
        <v>0</v>
      </c>
      <c r="AR8" s="155">
        <f>'Liquidacion Filip Carrasco'!E14</f>
        <v>0</v>
      </c>
      <c r="AS8" s="177">
        <f>SUM(AP8:AR8)</f>
        <v>0</v>
      </c>
      <c r="AT8" s="215">
        <f>AB8+AG8-AN8-AS8</f>
        <v>1052245.6666666667</v>
      </c>
      <c r="AU8" s="168">
        <f>'Liquidacion Filip Carrasco'!D32</f>
        <v>30859.496000000003</v>
      </c>
      <c r="AV8" s="135">
        <f>'Liquidacion Filip Carrasco'!D33</f>
        <v>11957.6672</v>
      </c>
      <c r="AW8" s="135">
        <f>'Liquidacion Filip Carrasco'!D34</f>
        <v>23915.3344</v>
      </c>
      <c r="AX8" s="164">
        <f>SUM(AU8:AW8)</f>
        <v>66732.497600000002</v>
      </c>
      <c r="AY8" s="220">
        <f>'Liquidacion Filip Carrasco'!D35</f>
        <v>1452503.1642666669</v>
      </c>
      <c r="AZ8" s="248" t="str">
        <f>C8</f>
        <v>Filip Carrasco</v>
      </c>
      <c r="BA8" s="140" t="str">
        <f>AH8</f>
        <v>Habitat</v>
      </c>
      <c r="BB8" s="140">
        <f>AI8+AW8+AM8+AU8</f>
        <v>207395.83040000001</v>
      </c>
      <c r="BC8" s="134" t="str">
        <f>AJ8</f>
        <v>ISAPRE Nueva Masvida</v>
      </c>
      <c r="BD8" s="247">
        <v>0</v>
      </c>
      <c r="BE8" s="247">
        <v>0</v>
      </c>
      <c r="BF8" s="247">
        <v>0</v>
      </c>
      <c r="BG8" s="247">
        <f>'Liquidacion Filip Carrasco'!E9</f>
        <v>90004</v>
      </c>
      <c r="BH8" s="247">
        <f>'Liquidacion Filip Carrasco'!E10</f>
        <v>83599</v>
      </c>
      <c r="BI8" s="251">
        <f>SUM(BG8:BH8)</f>
        <v>173603</v>
      </c>
      <c r="BJ8" s="140">
        <f>AV8</f>
        <v>11957.6672</v>
      </c>
      <c r="BK8" s="134"/>
      <c r="BL8" s="134"/>
      <c r="BM8" s="134"/>
      <c r="BN8" s="134"/>
      <c r="BO8" s="134"/>
    </row>
    <row r="9" spans="1:67">
      <c r="A9" s="134"/>
      <c r="B9" s="134"/>
      <c r="C9" s="176" t="s">
        <v>128</v>
      </c>
      <c r="D9" s="153"/>
      <c r="E9" s="155" t="s">
        <v>129</v>
      </c>
      <c r="F9" s="155" t="s">
        <v>130</v>
      </c>
      <c r="G9" s="155"/>
      <c r="H9" s="155"/>
      <c r="I9" s="155"/>
      <c r="J9" s="155"/>
      <c r="K9" s="155"/>
      <c r="L9" s="155" t="s">
        <v>202</v>
      </c>
      <c r="M9" s="153"/>
      <c r="N9" s="153">
        <v>1</v>
      </c>
      <c r="O9" s="153"/>
      <c r="P9" s="153"/>
      <c r="Q9" s="153"/>
      <c r="R9" s="153"/>
      <c r="S9" s="157">
        <f t="shared" ref="S9:S10" si="0">+Q9+R9</f>
        <v>0</v>
      </c>
      <c r="T9" s="197"/>
      <c r="U9" s="168">
        <v>512758</v>
      </c>
      <c r="V9" s="158" t="s">
        <v>203</v>
      </c>
      <c r="W9" s="158">
        <v>50000</v>
      </c>
      <c r="X9" s="135" t="s">
        <v>203</v>
      </c>
      <c r="Y9" s="158" t="s">
        <v>203</v>
      </c>
      <c r="Z9" s="158">
        <f>'Liquidacion Rolando Carrasco'!C9</f>
        <v>140689.5</v>
      </c>
      <c r="AA9" s="158"/>
      <c r="AB9" s="171">
        <f t="shared" ref="AB9:AB18" si="1">SUM(U9:Z9)</f>
        <v>703447.5</v>
      </c>
      <c r="AC9" s="188">
        <v>50000</v>
      </c>
      <c r="AD9" s="135">
        <v>50000</v>
      </c>
      <c r="AE9" s="135">
        <v>0</v>
      </c>
      <c r="AF9" s="135">
        <v>0</v>
      </c>
      <c r="AG9" s="164">
        <f t="shared" ref="AG9:AG18" si="2">SUM(AC9:AF9)</f>
        <v>100000</v>
      </c>
      <c r="AH9" s="233" t="str">
        <f>'Liquidacion Rolando Carrasco'!C6</f>
        <v>Habitat</v>
      </c>
      <c r="AI9" s="135">
        <f>'Liquidacion Rolando Carrasco'!E8</f>
        <v>79279</v>
      </c>
      <c r="AJ9" s="226" t="str">
        <f>'Liquidacion Rolando Carrasco'!D4</f>
        <v>FONASA</v>
      </c>
      <c r="AK9" s="135">
        <f>'Liquidacion Rolando Carrasco'!E9</f>
        <v>49241</v>
      </c>
      <c r="AL9" s="135">
        <f>'Liquidacion Rolando Carrasco'!E11</f>
        <v>0</v>
      </c>
      <c r="AM9" s="135">
        <f>'Liquidacion Rolando Carrasco'!E12</f>
        <v>4221</v>
      </c>
      <c r="AN9" s="164">
        <f t="shared" ref="AN9:AN18" si="3">AM9+AL9+AK9+AI9</f>
        <v>132741</v>
      </c>
      <c r="AO9" s="203"/>
      <c r="AP9" s="155"/>
      <c r="AQ9" s="155"/>
      <c r="AR9" s="155"/>
      <c r="AS9" s="177">
        <f t="shared" ref="AS9:AS17" si="4">SUM(AP9:AR9)</f>
        <v>0</v>
      </c>
      <c r="AT9" s="215">
        <f t="shared" ref="AT9:AT18" si="5">AB9+AG9-AN9-AS9</f>
        <v>670706.5</v>
      </c>
      <c r="AU9" s="168">
        <f>'Liquidacion Rolando Carrasco'!D32</f>
        <v>16882.740000000002</v>
      </c>
      <c r="AV9" s="135">
        <f>'Liquidacion Rolando Carrasco'!D33</f>
        <v>6542.0617499999998</v>
      </c>
      <c r="AW9" s="135">
        <f>'Liquidacion Rolando Carrasco'!D34</f>
        <v>13084.1235</v>
      </c>
      <c r="AX9" s="164">
        <f t="shared" ref="AX9:AX18" si="6">SUM(AU9:AW9)</f>
        <v>36508.92525</v>
      </c>
      <c r="AY9" s="220">
        <f>'Liquidacion Rolando Carrasco'!D35</f>
        <v>839956.42524999997</v>
      </c>
      <c r="AZ9" s="248" t="str">
        <f t="shared" ref="AZ9:AZ18" si="7">C9</f>
        <v>Rolando Carrasco</v>
      </c>
      <c r="BA9" s="140" t="str">
        <f t="shared" ref="BA9:BA17" si="8">AH9</f>
        <v>Habitat</v>
      </c>
      <c r="BB9" s="140">
        <f t="shared" ref="BB9:BB17" si="9">AI9+AW9+AM9+AU9</f>
        <v>113466.86350000001</v>
      </c>
      <c r="BC9" s="134" t="str">
        <f t="shared" ref="BC9:BC18" si="10">AJ9</f>
        <v>FONASA</v>
      </c>
      <c r="BD9" s="247">
        <f>AB9*$BD$6</f>
        <v>45372.363750000004</v>
      </c>
      <c r="BE9" s="247">
        <f>AB9*$BE$6</f>
        <v>3868.9612499999998</v>
      </c>
      <c r="BF9" s="247">
        <v>0</v>
      </c>
      <c r="BG9" s="247">
        <v>0</v>
      </c>
      <c r="BH9" s="247">
        <v>0</v>
      </c>
      <c r="BI9" s="251">
        <f t="shared" ref="BI9:BI18" si="11">SUM(BG9:BH9)</f>
        <v>0</v>
      </c>
      <c r="BJ9" s="140">
        <f t="shared" ref="BJ9:BJ18" si="12">AV9</f>
        <v>6542.0617499999998</v>
      </c>
      <c r="BK9" s="134"/>
      <c r="BL9" s="134"/>
      <c r="BM9" s="134"/>
      <c r="BN9" s="134"/>
      <c r="BO9" s="134"/>
    </row>
    <row r="10" spans="1:67">
      <c r="A10" s="134"/>
      <c r="B10" s="134"/>
      <c r="C10" s="176" t="s">
        <v>133</v>
      </c>
      <c r="D10" s="153"/>
      <c r="E10" s="155" t="s">
        <v>134</v>
      </c>
      <c r="F10" s="155" t="s">
        <v>135</v>
      </c>
      <c r="G10" s="155"/>
      <c r="H10" s="155"/>
      <c r="I10" s="155"/>
      <c r="J10" s="155"/>
      <c r="K10" s="155"/>
      <c r="L10" s="155" t="s">
        <v>202</v>
      </c>
      <c r="M10" s="153"/>
      <c r="N10" s="153"/>
      <c r="O10" s="153"/>
      <c r="P10" s="153"/>
      <c r="Q10" s="153"/>
      <c r="R10" s="153"/>
      <c r="S10" s="157">
        <f t="shared" si="0"/>
        <v>0</v>
      </c>
      <c r="T10" s="197"/>
      <c r="U10" s="168">
        <v>1365800</v>
      </c>
      <c r="V10" s="158" t="s">
        <v>203</v>
      </c>
      <c r="W10" s="158" t="s">
        <v>203</v>
      </c>
      <c r="X10" s="135" t="s">
        <v>203</v>
      </c>
      <c r="Y10" s="158" t="s">
        <v>203</v>
      </c>
      <c r="Z10" s="158">
        <f>'Liquidacion Helena Carrascova'!C9</f>
        <v>0</v>
      </c>
      <c r="AA10" s="158"/>
      <c r="AB10" s="171">
        <f t="shared" si="1"/>
        <v>1365800</v>
      </c>
      <c r="AC10" s="189" t="s">
        <v>203</v>
      </c>
      <c r="AD10" s="158" t="s">
        <v>203</v>
      </c>
      <c r="AE10" s="135">
        <v>0</v>
      </c>
      <c r="AF10" s="158">
        <v>0</v>
      </c>
      <c r="AG10" s="164">
        <f t="shared" si="2"/>
        <v>0</v>
      </c>
      <c r="AH10" s="233" t="str">
        <f>'Liquidacion Helena Carrascova'!C6</f>
        <v>Habitat</v>
      </c>
      <c r="AI10" s="135">
        <f>'Liquidacion Helena Carrascova'!E8</f>
        <v>153926</v>
      </c>
      <c r="AJ10" s="227" t="str">
        <f>'Liquidacion Helena Carrascova'!D4</f>
        <v>ISAPRE Vida Tres</v>
      </c>
      <c r="AK10" s="135">
        <f>'Liquidacion Helena Carrascova'!E5</f>
        <v>172567</v>
      </c>
      <c r="AL10" s="135">
        <f>'Liquidacion Helena Carrascova'!E11</f>
        <v>10492</v>
      </c>
      <c r="AM10" s="135">
        <f>'Liquidacion Helena Carrascova'!E12</f>
        <v>0</v>
      </c>
      <c r="AN10" s="164">
        <f t="shared" si="3"/>
        <v>336985</v>
      </c>
      <c r="AO10" s="203"/>
      <c r="AP10" s="155"/>
      <c r="AQ10" s="155"/>
      <c r="AR10" s="155"/>
      <c r="AS10" s="177">
        <f t="shared" si="4"/>
        <v>0</v>
      </c>
      <c r="AT10" s="215">
        <f t="shared" si="5"/>
        <v>1028815</v>
      </c>
      <c r="AU10" s="168">
        <f>'Liquidacion Helena Carrascova'!D32</f>
        <v>40974</v>
      </c>
      <c r="AV10" s="135">
        <f>'Liquidacion Helena Carrascova'!D33</f>
        <v>12701.939999999999</v>
      </c>
      <c r="AW10" s="135">
        <f>'Liquidacion Helena Carrascova'!D34</f>
        <v>25403.879999999997</v>
      </c>
      <c r="AX10" s="164">
        <f t="shared" si="6"/>
        <v>79079.820000000007</v>
      </c>
      <c r="AY10" s="220">
        <f>'Liquidacion Helena Carrascova'!D35</f>
        <v>1444879.8199999998</v>
      </c>
      <c r="AZ10" s="248" t="str">
        <f t="shared" si="7"/>
        <v>Helena Carrascova</v>
      </c>
      <c r="BA10" s="140" t="str">
        <f t="shared" si="8"/>
        <v>Habitat</v>
      </c>
      <c r="BB10" s="140">
        <f t="shared" si="9"/>
        <v>220303.88</v>
      </c>
      <c r="BC10" s="134" t="str">
        <f t="shared" si="10"/>
        <v>ISAPRE Vida Tres</v>
      </c>
      <c r="BD10" s="247">
        <v>0</v>
      </c>
      <c r="BE10" s="247">
        <v>0</v>
      </c>
      <c r="BF10" s="247">
        <v>0</v>
      </c>
      <c r="BG10" s="247">
        <f>'Liquidacion Helena Carrascova'!E9</f>
        <v>95606</v>
      </c>
      <c r="BH10" s="247">
        <f>'Liquidacion Helena Carrascova'!E10</f>
        <v>76961</v>
      </c>
      <c r="BI10" s="251">
        <f t="shared" si="11"/>
        <v>172567</v>
      </c>
      <c r="BJ10" s="140">
        <f t="shared" si="12"/>
        <v>12701.939999999999</v>
      </c>
      <c r="BK10" s="134"/>
      <c r="BL10" s="134"/>
      <c r="BM10" s="134"/>
      <c r="BN10" s="134"/>
      <c r="BO10" s="134"/>
    </row>
    <row r="11" spans="1:67">
      <c r="A11" s="134"/>
      <c r="B11" s="134"/>
      <c r="C11" s="176" t="s">
        <v>139</v>
      </c>
      <c r="D11" s="153"/>
      <c r="E11" s="155" t="s">
        <v>140</v>
      </c>
      <c r="F11" s="155" t="s">
        <v>141</v>
      </c>
      <c r="G11" s="155"/>
      <c r="H11" s="155"/>
      <c r="I11" s="155"/>
      <c r="J11" s="155"/>
      <c r="K11" s="155"/>
      <c r="L11" s="155" t="s">
        <v>202</v>
      </c>
      <c r="M11" s="153" t="s">
        <v>204</v>
      </c>
      <c r="N11" s="153"/>
      <c r="O11" s="153"/>
      <c r="P11" s="153"/>
      <c r="Q11" s="153"/>
      <c r="R11" s="159"/>
      <c r="S11" s="157">
        <f>+Q11+R11</f>
        <v>0</v>
      </c>
      <c r="T11" s="197"/>
      <c r="U11" s="168">
        <v>380000</v>
      </c>
      <c r="V11" s="135">
        <v>778030</v>
      </c>
      <c r="W11" s="158" t="s">
        <v>203</v>
      </c>
      <c r="X11" s="135">
        <f>+U11*15%</f>
        <v>57000</v>
      </c>
      <c r="Y11" s="158" t="s">
        <v>203</v>
      </c>
      <c r="Z11" s="158">
        <f>'Liquidacion Angelis Fernandez'!C9</f>
        <v>150416.66666666666</v>
      </c>
      <c r="AA11" s="158"/>
      <c r="AB11" s="171">
        <f t="shared" si="1"/>
        <v>1365446.6666666667</v>
      </c>
      <c r="AC11" s="188">
        <v>21000</v>
      </c>
      <c r="AD11" s="135">
        <v>21000</v>
      </c>
      <c r="AE11" s="135">
        <v>0</v>
      </c>
      <c r="AF11" s="135">
        <v>0</v>
      </c>
      <c r="AG11" s="164">
        <f t="shared" si="2"/>
        <v>42000</v>
      </c>
      <c r="AH11" s="233" t="str">
        <f>'Liquidacion Angelis Fernandez'!C6</f>
        <v>PlanVital</v>
      </c>
      <c r="AI11" s="135">
        <f>'Liquidacion Angelis Fernandez'!E8</f>
        <v>152384</v>
      </c>
      <c r="AJ11" s="226" t="str">
        <f>'Liquidacion Angelis Fernandez'!D9</f>
        <v>FONASA</v>
      </c>
      <c r="AK11" s="135">
        <f>'Liquidacion Angelis Fernandez'!E9</f>
        <v>95581</v>
      </c>
      <c r="AL11" s="135">
        <f>'Liquidacion Angelis Fernandez'!E11</f>
        <v>13291</v>
      </c>
      <c r="AM11" s="135">
        <f>'Liquidacion Angelis Fernandez'!E12</f>
        <v>8193</v>
      </c>
      <c r="AN11" s="164">
        <f t="shared" si="3"/>
        <v>269449</v>
      </c>
      <c r="AO11" s="203"/>
      <c r="AP11" s="155"/>
      <c r="AQ11" s="155"/>
      <c r="AR11" s="155"/>
      <c r="AS11" s="177">
        <f t="shared" si="4"/>
        <v>0</v>
      </c>
      <c r="AT11" s="215">
        <f>AB11+AG11-AN11-AS11</f>
        <v>1137997.6666666667</v>
      </c>
      <c r="AU11" s="168">
        <f>'Liquidacion Angelis Fernandez'!D32</f>
        <v>32770.719999999994</v>
      </c>
      <c r="AV11" s="135">
        <f>'Liquidacion Angelis Fernandez'!D33</f>
        <v>12698.653999999997</v>
      </c>
      <c r="AW11" s="135">
        <f>'Liquidacion Angelis Fernandez'!D34</f>
        <v>25397.307999999994</v>
      </c>
      <c r="AX11" s="164">
        <f t="shared" si="6"/>
        <v>70866.681999999986</v>
      </c>
      <c r="AY11" s="220">
        <f>'Liquidacion Angelis Fernandez'!D35</f>
        <v>1478313.3486666665</v>
      </c>
      <c r="AZ11" s="248" t="str">
        <f t="shared" si="7"/>
        <v>Angelis Fernandez</v>
      </c>
      <c r="BA11" s="140" t="str">
        <f t="shared" si="8"/>
        <v>PlanVital</v>
      </c>
      <c r="BB11" s="140">
        <f t="shared" si="9"/>
        <v>218745.02799999999</v>
      </c>
      <c r="BC11" s="134" t="str">
        <f t="shared" si="10"/>
        <v>FONASA</v>
      </c>
      <c r="BD11" s="247">
        <f t="shared" ref="BD11:BD18" si="13">AB11*$BD$6</f>
        <v>88071.310000000012</v>
      </c>
      <c r="BE11" s="247">
        <f t="shared" ref="BE11:BE18" si="14">AB11*$BE$6</f>
        <v>7509.9566666666669</v>
      </c>
      <c r="BF11" s="247">
        <v>0</v>
      </c>
      <c r="BG11" s="247">
        <v>0</v>
      </c>
      <c r="BH11" s="247">
        <v>0</v>
      </c>
      <c r="BI11" s="251">
        <f t="shared" si="11"/>
        <v>0</v>
      </c>
      <c r="BJ11" s="140">
        <f t="shared" si="12"/>
        <v>12698.653999999997</v>
      </c>
      <c r="BK11" s="134"/>
      <c r="BL11" s="134"/>
      <c r="BM11" s="134"/>
      <c r="BN11" s="134"/>
      <c r="BO11" s="134"/>
    </row>
    <row r="12" spans="1:67">
      <c r="A12" s="134"/>
      <c r="B12" s="134"/>
      <c r="C12" s="176" t="s">
        <v>148</v>
      </c>
      <c r="D12" s="153"/>
      <c r="E12" s="155" t="s">
        <v>149</v>
      </c>
      <c r="F12" s="155" t="s">
        <v>150</v>
      </c>
      <c r="G12" s="155"/>
      <c r="H12" s="155"/>
      <c r="I12" s="155"/>
      <c r="J12" s="155"/>
      <c r="K12" s="155"/>
      <c r="L12" s="155" t="s">
        <v>205</v>
      </c>
      <c r="M12" s="153"/>
      <c r="N12" s="153">
        <v>1</v>
      </c>
      <c r="O12" s="153"/>
      <c r="P12" s="153"/>
      <c r="Q12" s="153"/>
      <c r="R12" s="159">
        <v>6.0416666666666667E-2</v>
      </c>
      <c r="S12" s="157">
        <f t="shared" ref="S12:S14" si="15">+Q12+R12</f>
        <v>6.0416666666666667E-2</v>
      </c>
      <c r="T12" s="198"/>
      <c r="U12" s="168">
        <v>380000</v>
      </c>
      <c r="V12" s="135" t="s">
        <v>203</v>
      </c>
      <c r="W12" s="158">
        <v>464302</v>
      </c>
      <c r="X12" s="135">
        <f>+U12*15%</f>
        <v>57000</v>
      </c>
      <c r="Y12" s="158" t="s">
        <v>203</v>
      </c>
      <c r="Z12" s="158">
        <f>'Liquidacion Carlos Figueroa'!C9</f>
        <v>150416.66666666666</v>
      </c>
      <c r="AA12" s="158">
        <f>'Liquidacion Carlos Figueroa'!G3-'Liquidacion Carlos Figueroa'!C8</f>
        <v>3061.111111111124</v>
      </c>
      <c r="AB12" s="171">
        <f>SUM(U12:Z12)-AA12</f>
        <v>1048657.5555555555</v>
      </c>
      <c r="AC12" s="188">
        <v>58500</v>
      </c>
      <c r="AD12" s="135">
        <v>58500</v>
      </c>
      <c r="AE12" s="135">
        <v>0</v>
      </c>
      <c r="AF12" s="135">
        <v>0</v>
      </c>
      <c r="AG12" s="164">
        <f t="shared" si="2"/>
        <v>117000</v>
      </c>
      <c r="AH12" s="233" t="str">
        <f>'Liquidacion Carlos Figueroa'!C6</f>
        <v>PlanVital</v>
      </c>
      <c r="AI12" s="135">
        <f>'Liquidacion Carlos Figueroa'!E8</f>
        <v>117030</v>
      </c>
      <c r="AJ12" s="226" t="str">
        <f>'Liquidacion Carlos Figueroa'!D4</f>
        <v>FONASA</v>
      </c>
      <c r="AK12" s="135">
        <f>'Liquidacion Carlos Figueroa'!E9</f>
        <v>73406</v>
      </c>
      <c r="AL12" s="135">
        <f>'Liquidacion Carlos Figueroa'!E11</f>
        <v>2996</v>
      </c>
      <c r="AM12" s="135">
        <f>'Liquidacion Carlos Figueroa'!E12</f>
        <v>6292</v>
      </c>
      <c r="AN12" s="164">
        <f t="shared" si="3"/>
        <v>199724</v>
      </c>
      <c r="AO12" s="154"/>
      <c r="AP12" s="153"/>
      <c r="AQ12" s="155"/>
      <c r="AR12" s="136"/>
      <c r="AS12" s="177">
        <f t="shared" si="4"/>
        <v>0</v>
      </c>
      <c r="AT12" s="215">
        <f t="shared" si="5"/>
        <v>965933.5555555555</v>
      </c>
      <c r="AU12" s="168">
        <f>'Liquidacion Carlos Figueroa'!D32</f>
        <v>25167.781333333332</v>
      </c>
      <c r="AV12" s="135">
        <f>'Liquidacion Carlos Figueroa'!D33</f>
        <v>9752.5152666666654</v>
      </c>
      <c r="AW12" s="135">
        <f>'Liquidacion Carlos Figueroa'!D34</f>
        <v>19505.030533333331</v>
      </c>
      <c r="AX12" s="164">
        <f t="shared" si="6"/>
        <v>54425.327133333332</v>
      </c>
      <c r="AY12" s="220">
        <f>'Liquidacion Carlos Figueroa'!D35</f>
        <v>1220082.8826888888</v>
      </c>
      <c r="AZ12" s="248" t="str">
        <f t="shared" si="7"/>
        <v>Carlos Figueroa</v>
      </c>
      <c r="BA12" s="140" t="str">
        <f t="shared" si="8"/>
        <v>PlanVital</v>
      </c>
      <c r="BB12" s="140">
        <f t="shared" si="9"/>
        <v>167994.81186666666</v>
      </c>
      <c r="BC12" s="134" t="str">
        <f t="shared" si="10"/>
        <v>FONASA</v>
      </c>
      <c r="BD12" s="247">
        <f t="shared" si="13"/>
        <v>67638.412333333326</v>
      </c>
      <c r="BE12" s="247">
        <f t="shared" si="14"/>
        <v>5767.6165555555554</v>
      </c>
      <c r="BF12" s="247">
        <v>0</v>
      </c>
      <c r="BG12" s="247">
        <v>0</v>
      </c>
      <c r="BH12" s="247">
        <v>0</v>
      </c>
      <c r="BI12" s="251">
        <f t="shared" si="11"/>
        <v>0</v>
      </c>
      <c r="BJ12" s="140">
        <f t="shared" si="12"/>
        <v>9752.5152666666654</v>
      </c>
      <c r="BK12" s="134"/>
      <c r="BL12" s="134"/>
      <c r="BM12" s="134"/>
      <c r="BN12" s="134"/>
      <c r="BO12" s="134"/>
    </row>
    <row r="13" spans="1:67">
      <c r="A13" s="134"/>
      <c r="B13" s="134"/>
      <c r="C13" s="176" t="s">
        <v>152</v>
      </c>
      <c r="D13" s="153"/>
      <c r="E13" s="155" t="s">
        <v>153</v>
      </c>
      <c r="F13" s="155" t="s">
        <v>150</v>
      </c>
      <c r="G13" s="155"/>
      <c r="H13" s="155"/>
      <c r="I13" s="155"/>
      <c r="J13" s="155"/>
      <c r="K13" s="155"/>
      <c r="L13" s="155" t="s">
        <v>205</v>
      </c>
      <c r="M13" s="153"/>
      <c r="N13" s="153">
        <v>1</v>
      </c>
      <c r="O13" s="153"/>
      <c r="P13" s="153"/>
      <c r="Q13" s="153"/>
      <c r="R13" s="159">
        <v>6.0416666666666667E-2</v>
      </c>
      <c r="S13" s="157">
        <f t="shared" si="15"/>
        <v>6.0416666666666667E-2</v>
      </c>
      <c r="T13" s="198"/>
      <c r="U13" s="168">
        <v>380000</v>
      </c>
      <c r="V13" s="135" t="s">
        <v>203</v>
      </c>
      <c r="W13" s="158">
        <v>351001</v>
      </c>
      <c r="X13" s="135" t="s">
        <v>203</v>
      </c>
      <c r="Y13" s="158" t="s">
        <v>203</v>
      </c>
      <c r="Z13" s="158">
        <f>'Liquidacion Favio Remache'!C9</f>
        <v>150416.66666666666</v>
      </c>
      <c r="AA13" s="158">
        <f>'Liquidacion Favio Remache'!G3-'Liquidacion Favio Remache'!G9</f>
        <v>3061.111111111124</v>
      </c>
      <c r="AB13" s="171">
        <f>SUM(U13:Z13)-AA13</f>
        <v>878356.5555555555</v>
      </c>
      <c r="AC13" s="188" t="s">
        <v>203</v>
      </c>
      <c r="AD13" s="135">
        <v>17135</v>
      </c>
      <c r="AE13" s="135">
        <v>0</v>
      </c>
      <c r="AF13" s="135">
        <v>0</v>
      </c>
      <c r="AG13" s="164">
        <f t="shared" si="2"/>
        <v>17135</v>
      </c>
      <c r="AH13" s="233" t="str">
        <f>'Liquidacion Favio Remache'!C6</f>
        <v>PlanVital</v>
      </c>
      <c r="AI13" s="135">
        <f>'Liquidacion Favio Remache'!E8</f>
        <v>98025</v>
      </c>
      <c r="AJ13" s="226" t="str">
        <f>'Liquidacion Favio Remache'!D4</f>
        <v>FONASA</v>
      </c>
      <c r="AK13" s="135">
        <f>'Liquidacion Favio Remache'!E9</f>
        <v>61485</v>
      </c>
      <c r="AL13" s="135">
        <f>'Liquidacion Favio Remache'!E11</f>
        <v>0</v>
      </c>
      <c r="AM13" s="135">
        <f>'Liquidacion Favio Remache'!E12</f>
        <v>5270</v>
      </c>
      <c r="AN13" s="164">
        <f t="shared" si="3"/>
        <v>164780</v>
      </c>
      <c r="AO13" s="203" t="s">
        <v>206</v>
      </c>
      <c r="AP13" s="185">
        <v>100000</v>
      </c>
      <c r="AQ13" s="153"/>
      <c r="AR13" s="153"/>
      <c r="AS13" s="177">
        <f t="shared" si="4"/>
        <v>100000</v>
      </c>
      <c r="AT13" s="215">
        <f>AB13+AG13-AN13-AS13</f>
        <v>630711.5555555555</v>
      </c>
      <c r="AU13" s="168">
        <f>'Liquidacion Favio Remache'!D32</f>
        <v>21080.557333333334</v>
      </c>
      <c r="AV13" s="135">
        <f>'Liquidacion Favio Remache'!D33</f>
        <v>8168.7159666666657</v>
      </c>
      <c r="AW13" s="135">
        <f>'Liquidacion Favio Remache'!D34</f>
        <v>16337.431933333331</v>
      </c>
      <c r="AX13" s="164">
        <f t="shared" si="6"/>
        <v>45586.705233333334</v>
      </c>
      <c r="AY13" s="220">
        <f>'Liquidacion Favio Remache'!D35</f>
        <v>941078.26078888879</v>
      </c>
      <c r="AZ13" s="248" t="str">
        <f t="shared" si="7"/>
        <v>Favio Remache</v>
      </c>
      <c r="BA13" s="140" t="str">
        <f t="shared" si="8"/>
        <v>PlanVital</v>
      </c>
      <c r="BB13" s="140">
        <f t="shared" si="9"/>
        <v>140712.98926666667</v>
      </c>
      <c r="BC13" s="134" t="str">
        <f t="shared" si="10"/>
        <v>FONASA</v>
      </c>
      <c r="BD13" s="247">
        <f t="shared" si="13"/>
        <v>56653.997833333335</v>
      </c>
      <c r="BE13" s="247">
        <f t="shared" si="14"/>
        <v>4830.9610555555546</v>
      </c>
      <c r="BF13" s="247">
        <v>0</v>
      </c>
      <c r="BG13" s="247">
        <v>0</v>
      </c>
      <c r="BH13" s="247">
        <v>0</v>
      </c>
      <c r="BI13" s="251">
        <f t="shared" si="11"/>
        <v>0</v>
      </c>
      <c r="BJ13" s="140">
        <f t="shared" si="12"/>
        <v>8168.7159666666657</v>
      </c>
      <c r="BK13" s="134"/>
      <c r="BL13" s="134"/>
      <c r="BM13" s="134"/>
      <c r="BN13" s="134"/>
      <c r="BO13" s="134"/>
    </row>
    <row r="14" spans="1:67">
      <c r="A14" s="134"/>
      <c r="B14" s="134"/>
      <c r="C14" s="267" t="s">
        <v>155</v>
      </c>
      <c r="D14" s="153"/>
      <c r="E14" s="155" t="s">
        <v>156</v>
      </c>
      <c r="F14" s="155" t="s">
        <v>135</v>
      </c>
      <c r="G14" s="155" t="s">
        <v>223</v>
      </c>
      <c r="H14" s="155" t="s">
        <v>154</v>
      </c>
      <c r="I14" s="155" t="s">
        <v>224</v>
      </c>
      <c r="J14" s="269">
        <v>42370</v>
      </c>
      <c r="K14" s="155"/>
      <c r="L14" s="155" t="s">
        <v>205</v>
      </c>
      <c r="M14" s="153" t="s">
        <v>204</v>
      </c>
      <c r="N14" s="153"/>
      <c r="O14" s="153"/>
      <c r="P14" s="153"/>
      <c r="Q14" s="157"/>
      <c r="R14" s="157"/>
      <c r="S14" s="157">
        <f t="shared" si="15"/>
        <v>0</v>
      </c>
      <c r="T14" s="198"/>
      <c r="U14" s="168">
        <v>382000</v>
      </c>
      <c r="V14" s="135">
        <v>657684</v>
      </c>
      <c r="W14" s="158" t="s">
        <v>203</v>
      </c>
      <c r="X14" s="135">
        <f>+U14*15%</f>
        <v>57300</v>
      </c>
      <c r="Y14" s="135" t="s">
        <v>203</v>
      </c>
      <c r="Z14" s="135">
        <f>'Liquidacion Ingrid Soto'!C9</f>
        <v>150416.66666666666</v>
      </c>
      <c r="AA14" s="135"/>
      <c r="AB14" s="171">
        <f t="shared" si="1"/>
        <v>1247400.6666666667</v>
      </c>
      <c r="AC14" s="188">
        <v>80000</v>
      </c>
      <c r="AD14" s="135">
        <v>65998</v>
      </c>
      <c r="AE14" s="135">
        <v>0</v>
      </c>
      <c r="AF14" s="135">
        <v>0</v>
      </c>
      <c r="AG14" s="164">
        <f t="shared" si="2"/>
        <v>145998</v>
      </c>
      <c r="AH14" s="233" t="str">
        <f>'Liquidacion Ingrid Soto'!C6</f>
        <v>Provida</v>
      </c>
      <c r="AI14" s="135">
        <f>'Liquidacion Ingrid Soto'!E8</f>
        <v>142827</v>
      </c>
      <c r="AJ14" s="226" t="str">
        <f>'Liquidacion Ingrid Soto'!D4</f>
        <v>FONASA</v>
      </c>
      <c r="AK14" s="135">
        <f>'Liquidacion Ingrid Soto'!E9</f>
        <v>87318</v>
      </c>
      <c r="AL14" s="135">
        <f>'Liquidacion Ingrid Soto'!E11</f>
        <v>9609</v>
      </c>
      <c r="AM14" s="135">
        <f>'Liquidacion Ingrid Soto'!E12</f>
        <v>0</v>
      </c>
      <c r="AN14" s="164">
        <f t="shared" si="3"/>
        <v>239754</v>
      </c>
      <c r="AO14" s="204"/>
      <c r="AP14" s="155"/>
      <c r="AQ14" s="155"/>
      <c r="AR14" s="155"/>
      <c r="AS14" s="177">
        <f t="shared" si="4"/>
        <v>0</v>
      </c>
      <c r="AT14" s="215">
        <f t="shared" si="5"/>
        <v>1153644.6666666667</v>
      </c>
      <c r="AU14" s="168">
        <f>'Liquidacion Ingrid Soto'!D32</f>
        <v>37422.019999999997</v>
      </c>
      <c r="AV14" s="135">
        <f>'Liquidacion Ingrid Soto'!D33</f>
        <v>11600.826199999998</v>
      </c>
      <c r="AW14" s="135">
        <f>'Liquidacion Ingrid Soto'!D34</f>
        <v>23201.652399999995</v>
      </c>
      <c r="AX14" s="164">
        <f t="shared" si="6"/>
        <v>72224.498599999992</v>
      </c>
      <c r="AY14" s="220">
        <f>'Liquidacion Ingrid Soto'!D35</f>
        <v>1465623.1652666666</v>
      </c>
      <c r="AZ14" s="248" t="str">
        <f t="shared" si="7"/>
        <v>Ingrid Soto</v>
      </c>
      <c r="BA14" s="140" t="str">
        <f t="shared" si="8"/>
        <v>Provida</v>
      </c>
      <c r="BB14" s="140">
        <f t="shared" si="9"/>
        <v>203450.67239999998</v>
      </c>
      <c r="BC14" s="134" t="str">
        <f t="shared" si="10"/>
        <v>FONASA</v>
      </c>
      <c r="BD14" s="247">
        <f t="shared" si="13"/>
        <v>80457.343000000008</v>
      </c>
      <c r="BE14" s="247">
        <f t="shared" si="14"/>
        <v>6860.7036666666663</v>
      </c>
      <c r="BF14" s="247">
        <v>0</v>
      </c>
      <c r="BG14" s="247">
        <v>0</v>
      </c>
      <c r="BH14" s="247">
        <v>0</v>
      </c>
      <c r="BI14" s="251">
        <f t="shared" si="11"/>
        <v>0</v>
      </c>
      <c r="BJ14" s="140">
        <f t="shared" si="12"/>
        <v>11600.826199999998</v>
      </c>
      <c r="BK14" s="134"/>
      <c r="BL14" s="134"/>
      <c r="BM14" s="134"/>
      <c r="BN14" s="134"/>
      <c r="BO14" s="134"/>
    </row>
    <row r="15" spans="1:67">
      <c r="A15" s="134"/>
      <c r="B15" s="134"/>
      <c r="C15" s="267" t="s">
        <v>157</v>
      </c>
      <c r="D15" s="153"/>
      <c r="E15" s="155" t="s">
        <v>158</v>
      </c>
      <c r="F15" s="155" t="s">
        <v>159</v>
      </c>
      <c r="G15" s="155"/>
      <c r="H15" s="155"/>
      <c r="I15" s="155"/>
      <c r="J15" s="155"/>
      <c r="K15" s="155"/>
      <c r="L15" s="155" t="s">
        <v>202</v>
      </c>
      <c r="M15" s="153" t="s">
        <v>204</v>
      </c>
      <c r="N15" s="153"/>
      <c r="O15" s="153"/>
      <c r="P15" s="153"/>
      <c r="Q15" s="153"/>
      <c r="R15" s="159"/>
      <c r="S15" s="157">
        <f>+Q15+R15-T15</f>
        <v>0</v>
      </c>
      <c r="T15" s="198"/>
      <c r="U15" s="168">
        <v>380000</v>
      </c>
      <c r="V15" s="135" t="s">
        <v>203</v>
      </c>
      <c r="W15" s="158" t="s">
        <v>203</v>
      </c>
      <c r="X15" s="135" t="s">
        <v>203</v>
      </c>
      <c r="Y15" s="135" t="s">
        <v>203</v>
      </c>
      <c r="Z15" s="135">
        <f>'Liquidacion Santana JN Francois'!C9</f>
        <v>95000</v>
      </c>
      <c r="AA15" s="135"/>
      <c r="AB15" s="171">
        <f t="shared" si="1"/>
        <v>475000</v>
      </c>
      <c r="AC15" s="188">
        <v>30000</v>
      </c>
      <c r="AD15" s="135">
        <v>30000</v>
      </c>
      <c r="AE15" s="135">
        <v>0</v>
      </c>
      <c r="AF15" s="135">
        <v>0</v>
      </c>
      <c r="AG15" s="164">
        <f t="shared" si="2"/>
        <v>60000</v>
      </c>
      <c r="AH15" s="233" t="str">
        <f>'Liquidacion Santana JN Francois'!C6</f>
        <v>PlanVital</v>
      </c>
      <c r="AI15" s="135">
        <f>'Liquidacion Santana JN Francois'!E8</f>
        <v>53010</v>
      </c>
      <c r="AJ15" s="226" t="str">
        <f>'Liquidacion Santana JN Francois'!D4</f>
        <v>FONASA</v>
      </c>
      <c r="AK15" s="135">
        <f>'Liquidacion Santana JN Francois'!E9</f>
        <v>33250</v>
      </c>
      <c r="AL15" s="135">
        <f>'Liquidacion Santana JN Francois'!E11</f>
        <v>0</v>
      </c>
      <c r="AM15" s="135">
        <f>'Liquidacion Santana JN Francois'!E12</f>
        <v>2850</v>
      </c>
      <c r="AN15" s="164">
        <f t="shared" si="3"/>
        <v>89110</v>
      </c>
      <c r="AO15" s="203"/>
      <c r="AP15" s="155"/>
      <c r="AQ15" s="155"/>
      <c r="AR15" s="155"/>
      <c r="AS15" s="177">
        <f t="shared" si="4"/>
        <v>0</v>
      </c>
      <c r="AT15" s="215">
        <f t="shared" si="5"/>
        <v>445890</v>
      </c>
      <c r="AU15" s="168">
        <f>'Liquidacion Santana JN Francois'!D32</f>
        <v>11400</v>
      </c>
      <c r="AV15" s="135">
        <f>'Liquidacion Santana JN Francois'!D33</f>
        <v>4417.5</v>
      </c>
      <c r="AW15" s="135">
        <f>'Liquidacion Santana JN Francois'!D34</f>
        <v>8835</v>
      </c>
      <c r="AX15" s="164">
        <f t="shared" si="6"/>
        <v>24652.5</v>
      </c>
      <c r="AY15" s="220">
        <f>'Liquidacion Santana JN Francois'!D35</f>
        <v>559652.5</v>
      </c>
      <c r="AZ15" s="248" t="str">
        <f t="shared" si="7"/>
        <v>Santana JR Francois</v>
      </c>
      <c r="BA15" s="140" t="str">
        <f t="shared" si="8"/>
        <v>PlanVital</v>
      </c>
      <c r="BB15" s="140">
        <f t="shared" si="9"/>
        <v>76095</v>
      </c>
      <c r="BC15" s="134" t="str">
        <f t="shared" si="10"/>
        <v>FONASA</v>
      </c>
      <c r="BD15" s="247">
        <f t="shared" si="13"/>
        <v>30637.5</v>
      </c>
      <c r="BE15" s="247">
        <f t="shared" si="14"/>
        <v>2612.5</v>
      </c>
      <c r="BF15" s="247">
        <v>0</v>
      </c>
      <c r="BG15" s="247">
        <v>0</v>
      </c>
      <c r="BH15" s="247">
        <v>0</v>
      </c>
      <c r="BI15" s="251">
        <f t="shared" si="11"/>
        <v>0</v>
      </c>
      <c r="BJ15" s="140">
        <f t="shared" si="12"/>
        <v>4417.5</v>
      </c>
      <c r="BK15" s="134"/>
      <c r="BL15" s="134"/>
      <c r="BM15" s="134"/>
      <c r="BN15" s="134"/>
      <c r="BO15" s="134"/>
    </row>
    <row r="16" spans="1:67">
      <c r="A16" s="134"/>
      <c r="B16" s="134"/>
      <c r="C16" s="267" t="s">
        <v>161</v>
      </c>
      <c r="D16" s="153"/>
      <c r="E16" s="155" t="s">
        <v>162</v>
      </c>
      <c r="F16" s="153" t="s">
        <v>222</v>
      </c>
      <c r="G16" s="153"/>
      <c r="H16" s="153"/>
      <c r="I16" s="153"/>
      <c r="J16" s="153"/>
      <c r="K16" s="153"/>
      <c r="L16" s="155" t="s">
        <v>205</v>
      </c>
      <c r="M16" s="153"/>
      <c r="N16" s="153">
        <v>1</v>
      </c>
      <c r="O16" s="153"/>
      <c r="P16" s="153"/>
      <c r="Q16" s="153"/>
      <c r="R16" s="159"/>
      <c r="S16" s="157">
        <f>+Q16+R16-T16</f>
        <v>0</v>
      </c>
      <c r="T16" s="160"/>
      <c r="U16" s="169">
        <v>380000</v>
      </c>
      <c r="V16" s="158" t="s">
        <v>203</v>
      </c>
      <c r="W16" s="158">
        <v>260168</v>
      </c>
      <c r="X16" s="158">
        <v>55100</v>
      </c>
      <c r="Y16" s="158" t="s">
        <v>203</v>
      </c>
      <c r="Z16" s="158">
        <f>'Liquidacion Freddy Perez'!C9</f>
        <v>108775</v>
      </c>
      <c r="AA16" s="158"/>
      <c r="AB16" s="171">
        <f t="shared" si="1"/>
        <v>804043</v>
      </c>
      <c r="AC16" s="189">
        <v>50000</v>
      </c>
      <c r="AD16" s="158">
        <v>40000</v>
      </c>
      <c r="AE16" s="135">
        <v>0</v>
      </c>
      <c r="AF16" s="158">
        <v>0</v>
      </c>
      <c r="AG16" s="164">
        <f t="shared" si="2"/>
        <v>90000</v>
      </c>
      <c r="AH16" s="234" t="str">
        <f>'Liquidacion Freddy Perez'!C6</f>
        <v>PlanVital</v>
      </c>
      <c r="AI16" s="135">
        <f>'Liquidacion Freddy Perez'!E8</f>
        <v>60696</v>
      </c>
      <c r="AJ16" s="227" t="str">
        <f>'Liquidacion Freddy Perez'!D4</f>
        <v>FONASA</v>
      </c>
      <c r="AK16" s="135">
        <f>'Liquidacion Freddy Perez'!E9</f>
        <v>38071</v>
      </c>
      <c r="AL16" s="135">
        <f>'Liquidacion Freddy Perez'!E11</f>
        <v>0</v>
      </c>
      <c r="AM16" s="135">
        <f>'Liquidacion Freddy Perez'!E12</f>
        <v>3263</v>
      </c>
      <c r="AN16" s="164">
        <f t="shared" si="3"/>
        <v>102030</v>
      </c>
      <c r="AO16" s="204"/>
      <c r="AP16" s="153"/>
      <c r="AQ16" s="153"/>
      <c r="AR16" s="153"/>
      <c r="AS16" s="177">
        <f t="shared" si="4"/>
        <v>0</v>
      </c>
      <c r="AT16" s="215">
        <f t="shared" si="5"/>
        <v>792013</v>
      </c>
      <c r="AU16" s="168">
        <f>'Liquidacion Freddy Perez'!D32</f>
        <v>13053</v>
      </c>
      <c r="AV16" s="135">
        <f>'Liquidacion Freddy Perez'!D33</f>
        <v>5058.0374999999995</v>
      </c>
      <c r="AW16" s="135">
        <f>'Liquidacion Freddy Perez'!D34</f>
        <v>10116.074999999999</v>
      </c>
      <c r="AX16" s="164">
        <f t="shared" si="6"/>
        <v>28227.112499999996</v>
      </c>
      <c r="AY16" s="220">
        <f>'Liquidacion Freddy Perez'!D35</f>
        <v>662102.11249999993</v>
      </c>
      <c r="AZ16" s="248" t="str">
        <f t="shared" si="7"/>
        <v>Freddy Perez</v>
      </c>
      <c r="BA16" s="140" t="str">
        <f t="shared" si="8"/>
        <v>PlanVital</v>
      </c>
      <c r="BB16" s="140">
        <f t="shared" si="9"/>
        <v>87128.074999999997</v>
      </c>
      <c r="BC16" s="134" t="str">
        <f t="shared" si="10"/>
        <v>FONASA</v>
      </c>
      <c r="BD16" s="247">
        <f t="shared" si="13"/>
        <v>51860.773500000003</v>
      </c>
      <c r="BE16" s="247">
        <f t="shared" si="14"/>
        <v>4422.2365</v>
      </c>
      <c r="BF16" s="247">
        <v>0</v>
      </c>
      <c r="BG16" s="247">
        <v>0</v>
      </c>
      <c r="BH16" s="247">
        <v>0</v>
      </c>
      <c r="BI16" s="251">
        <f t="shared" si="11"/>
        <v>0</v>
      </c>
      <c r="BJ16" s="140">
        <f t="shared" si="12"/>
        <v>5058.0374999999995</v>
      </c>
      <c r="BK16" s="134"/>
      <c r="BL16" s="134"/>
      <c r="BM16" s="134"/>
      <c r="BN16" s="134"/>
      <c r="BO16" s="134"/>
    </row>
    <row r="17" spans="3:63" s="134" customFormat="1">
      <c r="C17" s="267" t="s">
        <v>207</v>
      </c>
      <c r="D17" s="153"/>
      <c r="E17" s="155" t="s">
        <v>166</v>
      </c>
      <c r="F17" s="153" t="s">
        <v>167</v>
      </c>
      <c r="G17" s="153"/>
      <c r="H17" s="153"/>
      <c r="I17" s="153"/>
      <c r="J17" s="153"/>
      <c r="K17" s="153"/>
      <c r="L17" s="155" t="s">
        <v>202</v>
      </c>
      <c r="M17" s="153" t="s">
        <v>204</v>
      </c>
      <c r="N17" s="153"/>
      <c r="O17" s="153"/>
      <c r="P17" s="153"/>
      <c r="Q17" s="153"/>
      <c r="R17" s="153"/>
      <c r="S17" s="153"/>
      <c r="T17" s="160"/>
      <c r="U17" s="169">
        <v>443187</v>
      </c>
      <c r="V17" s="158" t="s">
        <v>203</v>
      </c>
      <c r="W17" s="158" t="s">
        <v>203</v>
      </c>
      <c r="X17" s="158">
        <v>52500</v>
      </c>
      <c r="Y17" s="158" t="s">
        <v>203</v>
      </c>
      <c r="Z17" s="158">
        <f>'Liquidacion Osiris Junadette'!C9</f>
        <v>123921.75</v>
      </c>
      <c r="AA17" s="158"/>
      <c r="AB17" s="171">
        <f t="shared" si="1"/>
        <v>619608.75</v>
      </c>
      <c r="AC17" s="189">
        <v>50000</v>
      </c>
      <c r="AD17" s="158">
        <v>40000</v>
      </c>
      <c r="AE17" s="135">
        <v>0</v>
      </c>
      <c r="AF17" s="158">
        <v>0</v>
      </c>
      <c r="AG17" s="164">
        <f t="shared" si="2"/>
        <v>90000</v>
      </c>
      <c r="AH17" s="234" t="str">
        <f>'Liquidacion Osiris Junadette'!C6</f>
        <v>UNO</v>
      </c>
      <c r="AI17" s="135">
        <f>'Liquidacion Osiris Junadette'!E8</f>
        <v>66236</v>
      </c>
      <c r="AJ17" s="227" t="str">
        <f>'Liquidacion Osiris Junadette'!D4</f>
        <v>FONASA</v>
      </c>
      <c r="AK17" s="135">
        <f>'Liquidacion Osiris Junadette'!E9</f>
        <v>43373</v>
      </c>
      <c r="AL17" s="135">
        <f>'Liquidacion Osiris Junadette'!E11</f>
        <v>0</v>
      </c>
      <c r="AM17" s="135">
        <f>'Liquidacion Osiris Junadette'!E12</f>
        <v>3718</v>
      </c>
      <c r="AN17" s="164">
        <f t="shared" si="3"/>
        <v>113327</v>
      </c>
      <c r="AO17" s="204"/>
      <c r="AP17" s="153"/>
      <c r="AQ17" s="153"/>
      <c r="AR17" s="153"/>
      <c r="AS17" s="177">
        <f t="shared" si="4"/>
        <v>0</v>
      </c>
      <c r="AT17" s="215">
        <f t="shared" si="5"/>
        <v>596281.75</v>
      </c>
      <c r="AU17" s="168">
        <f>'Liquidacion Osiris Junadette'!D32</f>
        <v>14870.61</v>
      </c>
      <c r="AV17" s="135">
        <f>'Liquidacion Osiris Junadette'!D33</f>
        <v>5762.3613749999995</v>
      </c>
      <c r="AW17" s="135">
        <f>'Liquidacion Osiris Junadette'!D34</f>
        <v>11524.722749999999</v>
      </c>
      <c r="AX17" s="164">
        <f t="shared" si="6"/>
        <v>32157.694125000002</v>
      </c>
      <c r="AY17" s="220">
        <f>'Liquidacion Osiris Junadette'!D35</f>
        <v>741766.44412499992</v>
      </c>
      <c r="AZ17" s="248" t="str">
        <f t="shared" si="7"/>
        <v>Osiris</v>
      </c>
      <c r="BA17" s="140" t="str">
        <f t="shared" si="8"/>
        <v>UNO</v>
      </c>
      <c r="BB17" s="140">
        <f t="shared" si="9"/>
        <v>96349.332750000001</v>
      </c>
      <c r="BC17" s="134" t="str">
        <f t="shared" si="10"/>
        <v>FONASA</v>
      </c>
      <c r="BD17" s="247">
        <f t="shared" si="13"/>
        <v>39964.764374999999</v>
      </c>
      <c r="BE17" s="247">
        <f t="shared" si="14"/>
        <v>3407.848125</v>
      </c>
      <c r="BF17" s="247">
        <v>0</v>
      </c>
      <c r="BG17" s="247">
        <v>0</v>
      </c>
      <c r="BH17" s="247">
        <v>0</v>
      </c>
      <c r="BI17" s="251">
        <f t="shared" si="11"/>
        <v>0</v>
      </c>
      <c r="BJ17" s="140">
        <f t="shared" si="12"/>
        <v>5762.3613749999995</v>
      </c>
    </row>
    <row r="18" spans="3:63" s="132" customFormat="1" ht="15.75" thickBot="1">
      <c r="C18" s="268" t="s">
        <v>208</v>
      </c>
      <c r="D18" s="192"/>
      <c r="E18" s="193" t="str">
        <f>'Liquidacion Veronica Lopez'!C38</f>
        <v>8.907.281-6</v>
      </c>
      <c r="F18" s="194" t="str">
        <f>'Liquidacion Veronica Lopez'!C39</f>
        <v>Aseo y Adm. Bodega</v>
      </c>
      <c r="G18" s="194"/>
      <c r="H18" s="192"/>
      <c r="I18" s="192"/>
      <c r="J18" s="192"/>
      <c r="K18" s="192"/>
      <c r="L18" s="192"/>
      <c r="M18" s="192" t="s">
        <v>204</v>
      </c>
      <c r="N18" s="192"/>
      <c r="O18" s="195"/>
      <c r="P18" s="195"/>
      <c r="Q18" s="195"/>
      <c r="R18" s="195"/>
      <c r="S18" s="195"/>
      <c r="T18" s="199"/>
      <c r="U18" s="201">
        <v>567000</v>
      </c>
      <c r="V18" s="170" t="s">
        <v>203</v>
      </c>
      <c r="W18" s="170" t="s">
        <v>203</v>
      </c>
      <c r="X18" s="170" t="s">
        <v>203</v>
      </c>
      <c r="Y18" s="170" t="s">
        <v>203</v>
      </c>
      <c r="Z18" s="202">
        <f>'Liquidacion Veronica Lopez'!C9</f>
        <v>150416.66666666666</v>
      </c>
      <c r="AA18" s="202"/>
      <c r="AB18" s="172">
        <f t="shared" si="1"/>
        <v>717416.66666666663</v>
      </c>
      <c r="AC18" s="206">
        <v>50000</v>
      </c>
      <c r="AD18" s="202">
        <v>40000</v>
      </c>
      <c r="AE18" s="202"/>
      <c r="AF18" s="202"/>
      <c r="AG18" s="165">
        <f t="shared" si="2"/>
        <v>90000</v>
      </c>
      <c r="AH18" s="235" t="str">
        <f>'Liquidacion Veronica Lopez'!C6</f>
        <v>Caja de Empleados</v>
      </c>
      <c r="AI18" s="202">
        <f>'Liquidacion Veronica Lopez'!E8</f>
        <v>156684</v>
      </c>
      <c r="AJ18" s="228" t="str">
        <f>'Liquidacion Veronica Lopez'!D9</f>
        <v>FONASA</v>
      </c>
      <c r="AK18" s="202">
        <f>'Liquidacion Veronica Lopez'!E9</f>
        <v>50219</v>
      </c>
      <c r="AL18" s="202">
        <f>'Liquidacion Veronica Lopez'!E11</f>
        <v>0</v>
      </c>
      <c r="AM18" s="202">
        <f>'Liquidacion Veronica Lopez'!E12</f>
        <v>0</v>
      </c>
      <c r="AN18" s="164">
        <f t="shared" si="3"/>
        <v>206903</v>
      </c>
      <c r="AO18" s="206"/>
      <c r="AP18" s="195"/>
      <c r="AQ18" s="195"/>
      <c r="AR18" s="195"/>
      <c r="AS18" s="213"/>
      <c r="AT18" s="216">
        <f t="shared" si="5"/>
        <v>600513.66666666663</v>
      </c>
      <c r="AU18" s="218">
        <f>'Liquidacion Veronica Lopez'!D32</f>
        <v>21522.499999999996</v>
      </c>
      <c r="AV18" s="195">
        <f>'Liquidacion Veronica Lopez'!D33</f>
        <v>6671.9749999999995</v>
      </c>
      <c r="AW18" s="135">
        <f>'Liquidacion Veronica Lopez'!D34</f>
        <v>0</v>
      </c>
      <c r="AX18" s="164">
        <f t="shared" si="6"/>
        <v>28194.474999999995</v>
      </c>
      <c r="AY18" s="221">
        <f>'Liquidacion Veronica Lopez'!D35</f>
        <v>835611.1416666666</v>
      </c>
      <c r="AZ18" s="248" t="str">
        <f t="shared" si="7"/>
        <v>Veronica Lopez</v>
      </c>
      <c r="BA18" s="140" t="s">
        <v>154</v>
      </c>
      <c r="BB18" s="140">
        <f>AW18+AM18+AU18</f>
        <v>21522.499999999996</v>
      </c>
      <c r="BC18" s="134" t="str">
        <f t="shared" si="10"/>
        <v>FONASA</v>
      </c>
      <c r="BD18" s="247">
        <f t="shared" si="13"/>
        <v>46273.375</v>
      </c>
      <c r="BE18" s="247">
        <f t="shared" si="14"/>
        <v>3945.7916666666661</v>
      </c>
      <c r="BF18" s="247">
        <f>AI18</f>
        <v>156684</v>
      </c>
      <c r="BG18" s="247">
        <v>0</v>
      </c>
      <c r="BH18" s="247">
        <v>0</v>
      </c>
      <c r="BI18" s="251">
        <f t="shared" si="11"/>
        <v>0</v>
      </c>
      <c r="BJ18" s="140">
        <f t="shared" si="12"/>
        <v>6671.9749999999995</v>
      </c>
    </row>
    <row r="19" spans="3:63" s="132" customFormat="1" ht="15.75" thickBot="1">
      <c r="C19" s="182"/>
      <c r="D19" s="182"/>
      <c r="E19" s="190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200"/>
      <c r="U19" s="207">
        <f>U8+U9+U10+U11+U12+U13+U14+U15+U16+U17+U18</f>
        <v>6306099</v>
      </c>
      <c r="V19" s="208">
        <f>V11+V14</f>
        <v>1435714</v>
      </c>
      <c r="W19" s="208">
        <f>W9+W12+W13+W16</f>
        <v>1125471</v>
      </c>
      <c r="X19" s="208">
        <f>X11+X12+X14+X16+X17</f>
        <v>278900</v>
      </c>
      <c r="Y19" s="208">
        <f>SUM(Y8:Y18)</f>
        <v>0</v>
      </c>
      <c r="Z19" s="208">
        <f>Z8+Z9+Z10+Z11+Z12+Z13+Z14+Z15+Z16+Z17+Z18</f>
        <v>1370886.2499999998</v>
      </c>
      <c r="AA19" s="208">
        <f>SUM(AA8:AA18)</f>
        <v>6122.2222222222481</v>
      </c>
      <c r="AB19" s="209">
        <f>AB8+AB9+AB10+AB11+AB12+AB13+AB14+AB15+AB16+AB17+AB18</f>
        <v>10510948.027777778</v>
      </c>
      <c r="AC19" s="210">
        <f>AC8+AC9+AC11+AC12+AC14+AC15+AC16+AC17+AC18</f>
        <v>439500</v>
      </c>
      <c r="AD19" s="208">
        <f>AD8+AD9+AD11+AD12+AD13+AD14+AD15+AD16+AD17+AD18</f>
        <v>412633</v>
      </c>
      <c r="AE19" s="208">
        <f>SUM(AE8:AE18)</f>
        <v>0</v>
      </c>
      <c r="AF19" s="208">
        <f>SUM(AF8:AF18)</f>
        <v>0</v>
      </c>
      <c r="AG19" s="209">
        <f>AG8+AG9+AG10+AG11+AG12+AG13+AG14+AG15+AG16+AG17+AG18</f>
        <v>852133</v>
      </c>
      <c r="AH19" s="236">
        <f>SUM(AH8:AH18)</f>
        <v>0</v>
      </c>
      <c r="AI19" s="208">
        <f>AI8+AI9+AI10+AI11+AI12+AI13+AI14+AI15+AI16+AI17+AI18</f>
        <v>1225003</v>
      </c>
      <c r="AJ19" s="229">
        <f>SUM(AJ8:AJ18)</f>
        <v>0</v>
      </c>
      <c r="AK19" s="208">
        <f>AK8+AK9+AK10+AK11+AK12+AK13+AK14+AK15+AK16+AK17+AK18</f>
        <v>878114</v>
      </c>
      <c r="AL19" s="208">
        <f>AL8+AL9+AL10+AL11+AL12+AL13+AL14+AL15+AL16+AL17+AL18</f>
        <v>43689</v>
      </c>
      <c r="AM19" s="208">
        <f>AM8+AM9+AM10+AM11+AM12+AM13+AM14+AM15+AM16+AM17+AM18</f>
        <v>41522</v>
      </c>
      <c r="AN19" s="208">
        <f>AN8+AN9+AN10+AN11+AN12+AN13+AN14+AN15+AN16+AN17+AN18</f>
        <v>2188328</v>
      </c>
      <c r="AO19" s="208">
        <f>SUM(AO8:AO18)</f>
        <v>0</v>
      </c>
      <c r="AP19" s="208">
        <f>AP8+AP9+AP10+AP11+AP12+AP13+AP14+AP15+AP16+AP17+AP18</f>
        <v>100000</v>
      </c>
      <c r="AQ19" s="208"/>
      <c r="AR19" s="208">
        <f>SUM(AR8:AR18)</f>
        <v>0</v>
      </c>
      <c r="AS19" s="209">
        <f t="shared" ref="AS19:AY19" si="16">AS8+AS9+AS10+AS11+AS12+AS13+AS14+AS15+AS16+AS17+AS18</f>
        <v>100000</v>
      </c>
      <c r="AT19" s="217">
        <f t="shared" si="16"/>
        <v>9074753.027777778</v>
      </c>
      <c r="AU19" s="207">
        <f t="shared" si="16"/>
        <v>266003.42466666666</v>
      </c>
      <c r="AV19" s="208">
        <f t="shared" si="16"/>
        <v>95332.254258333327</v>
      </c>
      <c r="AW19" s="208">
        <f t="shared" si="16"/>
        <v>177320.55851666664</v>
      </c>
      <c r="AX19" s="209">
        <f t="shared" si="16"/>
        <v>538656.23744166666</v>
      </c>
      <c r="AY19" s="221">
        <f t="shared" si="16"/>
        <v>11641569.265219443</v>
      </c>
      <c r="AZ19" s="249"/>
      <c r="BA19" s="137"/>
      <c r="BB19" s="137">
        <f>SUM(BB8:BB18)</f>
        <v>1553164.9831833332</v>
      </c>
      <c r="BD19" s="247">
        <f>SUM(BD8:BD18)</f>
        <v>506929.83979166672</v>
      </c>
      <c r="BE19" s="247">
        <f>SUM(BE8:BE18)</f>
        <v>43226.575486111105</v>
      </c>
      <c r="BF19" s="247">
        <f>SUM(BF8:BF18)</f>
        <v>156684</v>
      </c>
      <c r="BG19" s="247">
        <f>SUM(BG7:BG18)</f>
        <v>185610.07</v>
      </c>
      <c r="BH19" s="247">
        <f>SUM(BH8:BH18)</f>
        <v>160560</v>
      </c>
      <c r="BI19" s="250">
        <f>SUM(BI8:BI18)</f>
        <v>346170</v>
      </c>
      <c r="BJ19" s="137">
        <f>SUM(BJ8:BJ18)</f>
        <v>95332.254258333327</v>
      </c>
      <c r="BK19" s="137">
        <f>BB19+BD19+BE19+BF19+BI19+BJ19</f>
        <v>2701507.6527194441</v>
      </c>
    </row>
    <row r="20" spans="3:63" s="132" customFormat="1">
      <c r="E20" s="138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230"/>
      <c r="AI20" s="137"/>
      <c r="AJ20" s="230"/>
      <c r="AK20" s="137"/>
      <c r="AL20" s="137"/>
      <c r="AM20" s="137"/>
      <c r="AN20" s="137"/>
      <c r="AO20" s="137"/>
    </row>
    <row r="21" spans="3:63" s="132" customFormat="1">
      <c r="C21" s="132" t="s">
        <v>209</v>
      </c>
      <c r="E21" s="138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230"/>
      <c r="AI21" s="137"/>
      <c r="AJ21" s="230"/>
      <c r="AK21" s="137"/>
      <c r="AL21" s="137"/>
      <c r="AM21" s="137"/>
      <c r="AN21" s="137"/>
      <c r="AO21" s="137"/>
    </row>
    <row r="22" spans="3:63" s="132" customFormat="1">
      <c r="C22" s="186" t="s">
        <v>210</v>
      </c>
      <c r="D22" s="238"/>
      <c r="E22" s="187" t="s">
        <v>211</v>
      </c>
      <c r="F22" s="238" t="s">
        <v>210</v>
      </c>
      <c r="G22" s="238"/>
      <c r="H22" s="238"/>
      <c r="I22" s="238"/>
      <c r="J22" s="238"/>
      <c r="K22" s="187" t="s">
        <v>211</v>
      </c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230"/>
      <c r="AI22" s="137"/>
      <c r="AJ22" s="230"/>
      <c r="AK22" s="137"/>
      <c r="AL22" s="137"/>
      <c r="AM22" s="137"/>
      <c r="AN22" s="137"/>
      <c r="AO22" s="137"/>
    </row>
    <row r="23" spans="3:63" s="132" customFormat="1">
      <c r="C23" s="240" t="s">
        <v>212</v>
      </c>
      <c r="E23" s="237"/>
      <c r="F23" s="239">
        <f>AX19</f>
        <v>538656.23744166666</v>
      </c>
      <c r="G23" s="249"/>
      <c r="K23" s="2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230"/>
      <c r="AI23" s="137"/>
      <c r="AJ23" s="230"/>
      <c r="AK23" s="137"/>
      <c r="AL23" s="137"/>
      <c r="AM23" s="137"/>
      <c r="AN23" s="137"/>
      <c r="AO23" s="137"/>
    </row>
    <row r="24" spans="3:63" s="132" customFormat="1">
      <c r="C24" s="240" t="s">
        <v>213</v>
      </c>
      <c r="E24" s="237"/>
      <c r="F24" s="239">
        <f>AB19+AG19-Z19-AS19</f>
        <v>9892194.777777778</v>
      </c>
      <c r="G24" s="249"/>
      <c r="K24" s="2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230"/>
      <c r="AI24" s="137"/>
      <c r="AJ24" s="230"/>
      <c r="AK24" s="137"/>
      <c r="AL24" s="137"/>
      <c r="AM24" s="137"/>
      <c r="AN24" s="137"/>
      <c r="AO24" s="137"/>
    </row>
    <row r="25" spans="3:63" s="132" customFormat="1">
      <c r="C25" s="240" t="s">
        <v>189</v>
      </c>
      <c r="E25" s="237"/>
      <c r="F25" s="239">
        <f>Z19</f>
        <v>1370886.2499999998</v>
      </c>
      <c r="G25" s="249"/>
      <c r="K25" s="2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230"/>
      <c r="AI25" s="137"/>
      <c r="AJ25" s="230"/>
      <c r="AK25" s="137"/>
      <c r="AL25" s="137"/>
      <c r="AM25" s="137"/>
      <c r="AN25" s="137"/>
      <c r="AO25" s="137"/>
    </row>
    <row r="26" spans="3:63" s="132" customFormat="1">
      <c r="C26" s="240"/>
      <c r="E26" s="242" t="s">
        <v>214</v>
      </c>
      <c r="F26" s="237"/>
      <c r="G26" s="266"/>
      <c r="K26" s="180">
        <f>AT19</f>
        <v>9074753.027777778</v>
      </c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230"/>
      <c r="AI26" s="137"/>
      <c r="AJ26" s="230"/>
      <c r="AK26" s="137"/>
      <c r="AL26" s="137"/>
      <c r="AM26" s="137"/>
      <c r="AN26" s="137"/>
      <c r="AO26" s="137"/>
    </row>
    <row r="27" spans="3:63" s="132" customFormat="1">
      <c r="C27" s="240"/>
      <c r="E27" s="242" t="s">
        <v>215</v>
      </c>
      <c r="F27" s="237"/>
      <c r="G27" s="266"/>
      <c r="K27" s="180">
        <f>AK19+AM19+AI19+AU19+AV19+AW19</f>
        <v>2683295.2374416664</v>
      </c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230"/>
      <c r="AI27" s="137"/>
      <c r="AJ27" s="230"/>
      <c r="AK27" s="137"/>
      <c r="AL27" s="137"/>
      <c r="AM27" s="137"/>
      <c r="AN27" s="137"/>
      <c r="AO27" s="137"/>
    </row>
    <row r="28" spans="3:63" s="132" customFormat="1">
      <c r="C28" s="182"/>
      <c r="D28" s="181"/>
      <c r="E28" s="243" t="s">
        <v>19</v>
      </c>
      <c r="F28" s="241"/>
      <c r="G28" s="181"/>
      <c r="H28" s="181"/>
      <c r="I28" s="181"/>
      <c r="J28" s="181"/>
      <c r="K28" s="211">
        <f>AL19</f>
        <v>43689</v>
      </c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230"/>
      <c r="AI28" s="137"/>
      <c r="AJ28" s="230"/>
      <c r="AK28" s="137"/>
      <c r="AL28" s="137"/>
      <c r="AM28" s="137"/>
      <c r="AN28" s="137"/>
      <c r="AO28" s="137"/>
    </row>
    <row r="29" spans="3:63" s="132" customFormat="1">
      <c r="E29" s="138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230"/>
      <c r="AI29" s="137"/>
      <c r="AJ29" s="230"/>
      <c r="AK29" s="137"/>
      <c r="AL29" s="137"/>
      <c r="AM29" s="137"/>
      <c r="AN29" s="137"/>
      <c r="AO29" s="137"/>
    </row>
    <row r="30" spans="3:63" s="132" customFormat="1">
      <c r="F30" s="137">
        <f>SUM(F23:F29)</f>
        <v>11801737.265219444</v>
      </c>
      <c r="G30" s="137"/>
      <c r="K30" s="137">
        <f>SUM(K26:K29)</f>
        <v>11801737.265219444</v>
      </c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230"/>
      <c r="AI30" s="137"/>
      <c r="AJ30" s="230"/>
      <c r="AK30" s="137"/>
      <c r="AL30" s="137"/>
      <c r="AM30" s="137"/>
      <c r="AN30" s="137"/>
      <c r="AO30" s="137"/>
    </row>
    <row r="31" spans="3:63" s="132" customFormat="1">
      <c r="E31" s="138"/>
      <c r="F31" s="179"/>
      <c r="G31" s="179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230"/>
      <c r="AI31" s="137"/>
      <c r="AJ31" s="230"/>
      <c r="AK31" s="137"/>
      <c r="AL31" s="137"/>
      <c r="AM31" s="137"/>
      <c r="AN31" s="137"/>
      <c r="AO31" s="137"/>
    </row>
    <row r="32" spans="3:63" s="132" customFormat="1">
      <c r="E32" s="138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230"/>
      <c r="AI32" s="137"/>
      <c r="AJ32" s="230"/>
      <c r="AK32" s="137"/>
      <c r="AL32" s="137"/>
      <c r="AM32" s="137"/>
      <c r="AN32" s="137"/>
      <c r="AO32" s="137"/>
    </row>
    <row r="33" spans="5:41" s="132" customFormat="1">
      <c r="E33" s="138"/>
      <c r="F33" s="137">
        <f>F30-K30</f>
        <v>0</v>
      </c>
      <c r="G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230"/>
      <c r="AI33" s="137"/>
      <c r="AJ33" s="230"/>
      <c r="AK33" s="137"/>
      <c r="AL33" s="137"/>
      <c r="AM33" s="137"/>
      <c r="AN33" s="137"/>
      <c r="AO33" s="137"/>
    </row>
    <row r="34" spans="5:41" s="132" customFormat="1">
      <c r="E34" s="138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230"/>
      <c r="AI34" s="137"/>
      <c r="AJ34" s="230"/>
      <c r="AK34" s="137"/>
      <c r="AL34" s="137"/>
      <c r="AM34" s="137"/>
      <c r="AN34" s="137"/>
      <c r="AO34" s="137"/>
    </row>
    <row r="35" spans="5:41" s="132" customFormat="1">
      <c r="E35" s="138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230"/>
      <c r="AI35" s="137"/>
      <c r="AJ35" s="230"/>
      <c r="AK35" s="137"/>
      <c r="AL35" s="137"/>
      <c r="AM35" s="137"/>
      <c r="AN35" s="137"/>
      <c r="AO35" s="137"/>
    </row>
    <row r="36" spans="5:41" s="132" customFormat="1">
      <c r="E36" s="138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230"/>
      <c r="AI36" s="137"/>
      <c r="AJ36" s="230"/>
      <c r="AK36" s="137"/>
      <c r="AL36" s="137"/>
      <c r="AM36" s="137"/>
      <c r="AN36" s="137"/>
      <c r="AO36" s="137"/>
    </row>
    <row r="37" spans="5:41" s="132" customFormat="1">
      <c r="E37" s="138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230"/>
      <c r="AI37" s="137"/>
      <c r="AJ37" s="230"/>
      <c r="AK37" s="137"/>
      <c r="AL37" s="137"/>
      <c r="AM37" s="137"/>
      <c r="AN37" s="137"/>
      <c r="AO37" s="137"/>
    </row>
    <row r="38" spans="5:41" s="132" customFormat="1">
      <c r="E38" s="138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230"/>
      <c r="AI38" s="137"/>
      <c r="AJ38" s="230"/>
      <c r="AK38" s="137"/>
      <c r="AL38" s="137"/>
      <c r="AM38" s="137"/>
      <c r="AN38" s="137"/>
      <c r="AO38" s="137"/>
    </row>
    <row r="39" spans="5:41" s="132" customFormat="1">
      <c r="E39" s="138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230"/>
      <c r="AI39" s="137"/>
      <c r="AJ39" s="230"/>
      <c r="AK39" s="137"/>
      <c r="AL39" s="137"/>
      <c r="AM39" s="137"/>
      <c r="AN39" s="137"/>
      <c r="AO39" s="137"/>
    </row>
    <row r="40" spans="5:41" s="132" customFormat="1">
      <c r="E40" s="138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230"/>
      <c r="AI40" s="137"/>
      <c r="AJ40" s="230"/>
      <c r="AK40" s="137"/>
      <c r="AL40" s="137"/>
      <c r="AM40" s="137"/>
      <c r="AN40" s="137"/>
      <c r="AO40" s="137"/>
    </row>
    <row r="41" spans="5:41" s="132" customFormat="1">
      <c r="E41" s="138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230"/>
      <c r="AI41" s="137"/>
      <c r="AJ41" s="230"/>
      <c r="AK41" s="137"/>
      <c r="AL41" s="137"/>
      <c r="AM41" s="137"/>
      <c r="AN41" s="137"/>
      <c r="AO41" s="137"/>
    </row>
    <row r="42" spans="5:41" s="132" customFormat="1">
      <c r="E42" s="138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230"/>
      <c r="AI42" s="137"/>
      <c r="AJ42" s="230"/>
      <c r="AK42" s="137"/>
      <c r="AL42" s="137"/>
      <c r="AM42" s="137"/>
      <c r="AN42" s="137"/>
      <c r="AO42" s="137"/>
    </row>
    <row r="43" spans="5:41" s="132" customFormat="1">
      <c r="E43" s="138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230"/>
      <c r="AI43" s="137"/>
      <c r="AJ43" s="230"/>
      <c r="AK43" s="137"/>
      <c r="AL43" s="137"/>
      <c r="AM43" s="137"/>
      <c r="AN43" s="137"/>
      <c r="AO43" s="137"/>
    </row>
    <row r="44" spans="5:41" s="132" customFormat="1">
      <c r="E44" s="138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230"/>
      <c r="AI44" s="137"/>
      <c r="AJ44" s="230"/>
      <c r="AK44" s="137"/>
      <c r="AL44" s="137"/>
      <c r="AM44" s="137"/>
      <c r="AN44" s="137"/>
      <c r="AO44" s="137"/>
    </row>
    <row r="45" spans="5:41" s="132" customFormat="1">
      <c r="E45" s="138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230"/>
      <c r="AI45" s="137"/>
      <c r="AJ45" s="230"/>
      <c r="AK45" s="137"/>
      <c r="AL45" s="137"/>
      <c r="AM45" s="137"/>
      <c r="AN45" s="137"/>
      <c r="AO45" s="137"/>
    </row>
    <row r="46" spans="5:41" s="132" customFormat="1">
      <c r="E46" s="138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230"/>
      <c r="AI46" s="137"/>
      <c r="AJ46" s="230"/>
      <c r="AK46" s="137"/>
      <c r="AL46" s="137"/>
      <c r="AM46" s="137"/>
      <c r="AN46" s="137"/>
      <c r="AO46" s="137"/>
    </row>
    <row r="47" spans="5:41" s="132" customFormat="1">
      <c r="E47" s="138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230"/>
      <c r="AI47" s="137"/>
      <c r="AJ47" s="230"/>
      <c r="AK47" s="137"/>
      <c r="AL47" s="137"/>
      <c r="AM47" s="137"/>
      <c r="AN47" s="137"/>
      <c r="AO47" s="137"/>
    </row>
    <row r="48" spans="5:41" s="132" customFormat="1">
      <c r="E48" s="138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230"/>
      <c r="AI48" s="137"/>
      <c r="AJ48" s="230"/>
      <c r="AK48" s="137"/>
      <c r="AL48" s="137"/>
      <c r="AM48" s="137"/>
      <c r="AN48" s="137"/>
      <c r="AO48" s="137"/>
    </row>
    <row r="49" spans="5:41" s="132" customFormat="1">
      <c r="E49" s="138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230"/>
      <c r="AI49" s="137"/>
      <c r="AJ49" s="230"/>
      <c r="AK49" s="137"/>
      <c r="AL49" s="137"/>
      <c r="AM49" s="137"/>
      <c r="AN49" s="137"/>
      <c r="AO49" s="137"/>
    </row>
    <row r="50" spans="5:41" s="132" customFormat="1">
      <c r="E50" s="138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230"/>
      <c r="AI50" s="137"/>
      <c r="AJ50" s="230"/>
      <c r="AK50" s="137"/>
      <c r="AL50" s="137"/>
      <c r="AM50" s="137"/>
      <c r="AN50" s="137"/>
      <c r="AO50" s="137"/>
    </row>
    <row r="51" spans="5:41" s="132" customFormat="1">
      <c r="E51" s="138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230"/>
      <c r="AI51" s="137"/>
      <c r="AJ51" s="230"/>
      <c r="AK51" s="137"/>
      <c r="AL51" s="137"/>
      <c r="AM51" s="137"/>
      <c r="AN51" s="137"/>
      <c r="AO51" s="137"/>
    </row>
    <row r="52" spans="5:41" s="132" customFormat="1">
      <c r="E52" s="138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230"/>
      <c r="AI52" s="137"/>
      <c r="AJ52" s="230"/>
      <c r="AK52" s="137"/>
      <c r="AL52" s="137"/>
      <c r="AM52" s="137"/>
      <c r="AN52" s="137"/>
      <c r="AO52" s="137"/>
    </row>
    <row r="53" spans="5:41" s="132" customFormat="1">
      <c r="E53" s="138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230"/>
      <c r="AI53" s="137"/>
      <c r="AJ53" s="230"/>
      <c r="AK53" s="137"/>
      <c r="AL53" s="137"/>
      <c r="AM53" s="137"/>
      <c r="AN53" s="137"/>
      <c r="AO53" s="137"/>
    </row>
    <row r="54" spans="5:41" s="132" customFormat="1">
      <c r="E54" s="138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230"/>
      <c r="AI54" s="137"/>
      <c r="AJ54" s="230"/>
      <c r="AK54" s="137"/>
      <c r="AL54" s="137"/>
      <c r="AM54" s="137"/>
      <c r="AN54" s="137"/>
      <c r="AO54" s="137"/>
    </row>
    <row r="55" spans="5:41" s="132" customFormat="1">
      <c r="E55" s="138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230"/>
      <c r="AI55" s="137"/>
      <c r="AJ55" s="230"/>
      <c r="AK55" s="137"/>
      <c r="AL55" s="137"/>
      <c r="AM55" s="137"/>
      <c r="AN55" s="137"/>
      <c r="AO55" s="137"/>
    </row>
    <row r="56" spans="5:41" s="132" customFormat="1">
      <c r="E56" s="138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230"/>
      <c r="AI56" s="137"/>
      <c r="AJ56" s="230"/>
      <c r="AK56" s="137"/>
      <c r="AL56" s="137"/>
      <c r="AM56" s="137"/>
      <c r="AN56" s="137"/>
      <c r="AO56" s="137"/>
    </row>
  </sheetData>
  <pageMargins left="0.7" right="0.7" top="0.75" bottom="0.75" header="0.3" footer="0.3"/>
  <pageSetup orientation="portrait" horizontalDpi="4294967293" verticalDpi="0" r:id="rId1"/>
  <ignoredErrors>
    <ignoredError sqref="AP19 AS19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7E2-92E0-47C5-979D-CBA72ED8369E}">
  <sheetPr filterMode="1"/>
  <dimension ref="B4:M17"/>
  <sheetViews>
    <sheetView workbookViewId="0">
      <selection activeCell="O20" sqref="O20"/>
    </sheetView>
  </sheetViews>
  <sheetFormatPr baseColWidth="10" defaultRowHeight="15"/>
  <sheetData>
    <row r="4" spans="2:13" ht="16.5" thickBot="1">
      <c r="B4" s="253"/>
      <c r="C4" s="253" t="s">
        <v>11</v>
      </c>
      <c r="D4" s="253" t="s">
        <v>63</v>
      </c>
      <c r="E4" s="254" t="s">
        <v>216</v>
      </c>
      <c r="F4" s="255">
        <v>6.4500000000000002E-2</v>
      </c>
      <c r="G4" s="255">
        <v>5.4999999999999997E-3</v>
      </c>
      <c r="H4" s="253"/>
      <c r="I4" s="253" t="s">
        <v>219</v>
      </c>
      <c r="J4" s="253"/>
      <c r="K4" s="253"/>
      <c r="L4" s="253"/>
      <c r="M4" s="253"/>
    </row>
    <row r="5" spans="2:13" ht="31.5">
      <c r="B5" s="256" t="s">
        <v>64</v>
      </c>
      <c r="C5" s="256" t="s">
        <v>11</v>
      </c>
      <c r="D5" s="256" t="s">
        <v>65</v>
      </c>
      <c r="E5" s="256" t="s">
        <v>15</v>
      </c>
      <c r="F5" s="256" t="s">
        <v>217</v>
      </c>
      <c r="G5" s="256" t="s">
        <v>96</v>
      </c>
      <c r="H5" s="256" t="s">
        <v>218</v>
      </c>
      <c r="I5" s="257">
        <v>7.0000000000000007E-2</v>
      </c>
      <c r="J5" s="256" t="s">
        <v>220</v>
      </c>
      <c r="K5" s="256" t="s">
        <v>221</v>
      </c>
      <c r="L5" s="256" t="s">
        <v>123</v>
      </c>
      <c r="M5" s="256"/>
    </row>
    <row r="6" spans="2:13" ht="15.75" hidden="1">
      <c r="B6" s="258" t="s">
        <v>124</v>
      </c>
      <c r="C6" s="259" t="s">
        <v>120</v>
      </c>
      <c r="D6" s="259">
        <v>207395.83040000001</v>
      </c>
      <c r="E6" s="260" t="s">
        <v>119</v>
      </c>
      <c r="F6" s="261">
        <v>0</v>
      </c>
      <c r="G6" s="261">
        <v>0</v>
      </c>
      <c r="H6" s="261">
        <v>0</v>
      </c>
      <c r="I6" s="261">
        <v>90004</v>
      </c>
      <c r="J6" s="261">
        <v>81882</v>
      </c>
      <c r="K6" s="262">
        <v>171886</v>
      </c>
      <c r="L6" s="259">
        <v>11957.6672</v>
      </c>
      <c r="M6" s="260"/>
    </row>
    <row r="7" spans="2:13" ht="15.75" hidden="1">
      <c r="B7" s="258" t="s">
        <v>128</v>
      </c>
      <c r="C7" s="259" t="s">
        <v>120</v>
      </c>
      <c r="D7" s="259">
        <v>113466.86350000001</v>
      </c>
      <c r="E7" s="260" t="s">
        <v>96</v>
      </c>
      <c r="F7" s="261">
        <v>45372.363750000004</v>
      </c>
      <c r="G7" s="261">
        <v>3868.9612499999998</v>
      </c>
      <c r="H7" s="261">
        <v>0</v>
      </c>
      <c r="I7" s="261">
        <v>0</v>
      </c>
      <c r="J7" s="261">
        <v>0</v>
      </c>
      <c r="K7" s="262">
        <v>0</v>
      </c>
      <c r="L7" s="259">
        <v>6542.0617499999998</v>
      </c>
      <c r="M7" s="260"/>
    </row>
    <row r="8" spans="2:13" ht="15.75" hidden="1">
      <c r="B8" s="258" t="s">
        <v>133</v>
      </c>
      <c r="C8" s="259" t="s">
        <v>120</v>
      </c>
      <c r="D8" s="259">
        <v>220303.88</v>
      </c>
      <c r="E8" s="260" t="s">
        <v>131</v>
      </c>
      <c r="F8" s="261">
        <v>0</v>
      </c>
      <c r="G8" s="261">
        <v>0</v>
      </c>
      <c r="H8" s="261">
        <v>0</v>
      </c>
      <c r="I8" s="261">
        <v>95606</v>
      </c>
      <c r="J8" s="261">
        <v>75254</v>
      </c>
      <c r="K8" s="262">
        <v>170860</v>
      </c>
      <c r="L8" s="259">
        <v>12701.939999999999</v>
      </c>
      <c r="M8" s="260"/>
    </row>
    <row r="9" spans="2:13" ht="15.75" hidden="1">
      <c r="B9" s="258" t="s">
        <v>139</v>
      </c>
      <c r="C9" s="259" t="s">
        <v>136</v>
      </c>
      <c r="D9" s="259">
        <v>218745.02799999999</v>
      </c>
      <c r="E9" s="260" t="s">
        <v>96</v>
      </c>
      <c r="F9" s="261">
        <v>88071.310000000012</v>
      </c>
      <c r="G9" s="261">
        <v>7509.9566666666669</v>
      </c>
      <c r="H9" s="261">
        <v>0</v>
      </c>
      <c r="I9" s="261">
        <v>0</v>
      </c>
      <c r="J9" s="261">
        <v>0</v>
      </c>
      <c r="K9" s="262">
        <v>0</v>
      </c>
      <c r="L9" s="259">
        <v>12698.653999999997</v>
      </c>
      <c r="M9" s="260"/>
    </row>
    <row r="10" spans="2:13" ht="15.75" hidden="1">
      <c r="B10" s="258" t="s">
        <v>148</v>
      </c>
      <c r="C10" s="259" t="s">
        <v>136</v>
      </c>
      <c r="D10" s="259">
        <v>167994.81186666666</v>
      </c>
      <c r="E10" s="260" t="s">
        <v>96</v>
      </c>
      <c r="F10" s="261">
        <v>67638.412333333326</v>
      </c>
      <c r="G10" s="261">
        <v>5767.6165555555554</v>
      </c>
      <c r="H10" s="261">
        <v>0</v>
      </c>
      <c r="I10" s="261">
        <v>0</v>
      </c>
      <c r="J10" s="261">
        <v>0</v>
      </c>
      <c r="K10" s="262">
        <v>0</v>
      </c>
      <c r="L10" s="259">
        <v>9752.5152666666654</v>
      </c>
      <c r="M10" s="260"/>
    </row>
    <row r="11" spans="2:13" ht="15.75" hidden="1">
      <c r="B11" s="258" t="s">
        <v>152</v>
      </c>
      <c r="C11" s="259" t="s">
        <v>136</v>
      </c>
      <c r="D11" s="259">
        <v>140712.98926666667</v>
      </c>
      <c r="E11" s="260" t="s">
        <v>96</v>
      </c>
      <c r="F11" s="261">
        <v>56653.997833333335</v>
      </c>
      <c r="G11" s="261">
        <v>4830.9610555555546</v>
      </c>
      <c r="H11" s="261">
        <v>0</v>
      </c>
      <c r="I11" s="261">
        <v>0</v>
      </c>
      <c r="J11" s="261">
        <v>0</v>
      </c>
      <c r="K11" s="262">
        <v>0</v>
      </c>
      <c r="L11" s="259">
        <v>8168.7159666666657</v>
      </c>
      <c r="M11" s="260"/>
    </row>
    <row r="12" spans="2:13" ht="15.75">
      <c r="B12" s="258" t="s">
        <v>155</v>
      </c>
      <c r="C12" s="259" t="s">
        <v>154</v>
      </c>
      <c r="D12" s="259">
        <v>203450.67239999998</v>
      </c>
      <c r="E12" s="260" t="s">
        <v>96</v>
      </c>
      <c r="F12" s="261">
        <v>80457.343000000008</v>
      </c>
      <c r="G12" s="261">
        <v>6860.7036666666663</v>
      </c>
      <c r="H12" s="261">
        <v>0</v>
      </c>
      <c r="I12" s="261">
        <v>0</v>
      </c>
      <c r="J12" s="261">
        <v>0</v>
      </c>
      <c r="K12" s="262">
        <v>0</v>
      </c>
      <c r="L12" s="259">
        <v>11600.826199999998</v>
      </c>
      <c r="M12" s="260"/>
    </row>
    <row r="13" spans="2:13" ht="15.75" hidden="1">
      <c r="B13" s="258" t="s">
        <v>157</v>
      </c>
      <c r="C13" s="259" t="s">
        <v>136</v>
      </c>
      <c r="D13" s="259">
        <v>76095</v>
      </c>
      <c r="E13" s="260" t="s">
        <v>96</v>
      </c>
      <c r="F13" s="261">
        <v>30637.5</v>
      </c>
      <c r="G13" s="261">
        <v>2612.5</v>
      </c>
      <c r="H13" s="261">
        <v>0</v>
      </c>
      <c r="I13" s="261">
        <v>0</v>
      </c>
      <c r="J13" s="261">
        <v>0</v>
      </c>
      <c r="K13" s="262">
        <v>0</v>
      </c>
      <c r="L13" s="259">
        <v>4417.5</v>
      </c>
      <c r="M13" s="260"/>
    </row>
    <row r="14" spans="2:13" ht="15.75" hidden="1">
      <c r="B14" s="258" t="s">
        <v>161</v>
      </c>
      <c r="C14" s="259" t="s">
        <v>136</v>
      </c>
      <c r="D14" s="259">
        <v>135478.16680000001</v>
      </c>
      <c r="E14" s="260" t="s">
        <v>96</v>
      </c>
      <c r="F14" s="261">
        <v>54546.661</v>
      </c>
      <c r="G14" s="261">
        <v>4651.2656666666662</v>
      </c>
      <c r="H14" s="261">
        <v>0</v>
      </c>
      <c r="I14" s="261">
        <v>0</v>
      </c>
      <c r="J14" s="261">
        <v>0</v>
      </c>
      <c r="K14" s="262">
        <v>0</v>
      </c>
      <c r="L14" s="259">
        <v>7864.8673999999992</v>
      </c>
      <c r="M14" s="260"/>
    </row>
    <row r="15" spans="2:13" ht="15.75" hidden="1">
      <c r="B15" s="258" t="s">
        <v>207</v>
      </c>
      <c r="C15" s="259" t="s">
        <v>101</v>
      </c>
      <c r="D15" s="259">
        <v>96349.332750000001</v>
      </c>
      <c r="E15" s="260" t="s">
        <v>96</v>
      </c>
      <c r="F15" s="261">
        <v>39964.764374999999</v>
      </c>
      <c r="G15" s="261">
        <v>3407.848125</v>
      </c>
      <c r="H15" s="261">
        <v>0</v>
      </c>
      <c r="I15" s="261">
        <v>0</v>
      </c>
      <c r="J15" s="261">
        <v>0</v>
      </c>
      <c r="K15" s="262">
        <v>0</v>
      </c>
      <c r="L15" s="259">
        <v>5762.3613749999995</v>
      </c>
      <c r="M15" s="260"/>
    </row>
    <row r="16" spans="2:13" ht="15.75">
      <c r="B16" s="258" t="s">
        <v>208</v>
      </c>
      <c r="C16" s="259" t="s">
        <v>154</v>
      </c>
      <c r="D16" s="259">
        <v>34866.449999999997</v>
      </c>
      <c r="E16" s="260" t="s">
        <v>96</v>
      </c>
      <c r="F16" s="261">
        <v>46273.375</v>
      </c>
      <c r="G16" s="261">
        <v>3945.7916666666661</v>
      </c>
      <c r="H16" s="261">
        <v>156684</v>
      </c>
      <c r="I16" s="261">
        <v>0</v>
      </c>
      <c r="J16" s="261">
        <v>0</v>
      </c>
      <c r="K16" s="262">
        <v>0</v>
      </c>
      <c r="L16" s="259">
        <v>6671.9749999999995</v>
      </c>
      <c r="M16" s="253"/>
    </row>
    <row r="17" spans="2:13" ht="15.75" hidden="1">
      <c r="B17" s="263"/>
      <c r="C17" s="264"/>
      <c r="D17" s="264">
        <v>1614859.0249833332</v>
      </c>
      <c r="E17" s="253"/>
      <c r="F17" s="261">
        <v>509615.72729166667</v>
      </c>
      <c r="G17" s="261">
        <v>43455.604652777773</v>
      </c>
      <c r="H17" s="261">
        <v>156684</v>
      </c>
      <c r="I17" s="261">
        <v>185610.07</v>
      </c>
      <c r="J17" s="261">
        <v>157136</v>
      </c>
      <c r="K17" s="265">
        <v>342746</v>
      </c>
      <c r="L17" s="264">
        <v>98139.084158333324</v>
      </c>
      <c r="M17" s="264">
        <v>3108245.511086111</v>
      </c>
    </row>
  </sheetData>
  <autoFilter ref="B5:M17" xr:uid="{EECC77E2-92E0-47C5-979D-CBA72ED8369E}">
    <filterColumn colId="1">
      <filters>
        <filter val="Provida"/>
      </filters>
    </filterColumn>
  </autoFilter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1B7E-0691-4918-85BA-E7FD9B21973B}">
  <sheetPr filterMode="1"/>
  <dimension ref="A1:BL56"/>
  <sheetViews>
    <sheetView topLeftCell="AM1" workbookViewId="0">
      <selection activeCell="AY18" sqref="AY18"/>
    </sheetView>
  </sheetViews>
  <sheetFormatPr baseColWidth="10" defaultColWidth="11.42578125" defaultRowHeight="15" outlineLevelCol="1"/>
  <cols>
    <col min="1" max="1" width="1" style="132" customWidth="1"/>
    <col min="2" max="2" width="4.42578125" style="132" customWidth="1"/>
    <col min="3" max="3" width="21.7109375" style="134" bestFit="1" customWidth="1"/>
    <col min="4" max="4" width="19.7109375" style="134" hidden="1" customWidth="1"/>
    <col min="5" max="5" width="18.42578125" style="139" bestFit="1" customWidth="1"/>
    <col min="6" max="6" width="19.140625" style="134" bestFit="1" customWidth="1"/>
    <col min="7" max="7" width="12.7109375" style="134" hidden="1" customWidth="1"/>
    <col min="8" max="8" width="12.28515625" style="134" bestFit="1" customWidth="1"/>
    <col min="9" max="9" width="12.7109375" style="134" customWidth="1"/>
    <col min="10" max="10" width="9.85546875" style="134" customWidth="1"/>
    <col min="11" max="11" width="11.42578125" style="134"/>
    <col min="12" max="12" width="7.85546875" style="134" bestFit="1" customWidth="1"/>
    <col min="13" max="13" width="9.7109375" style="134" customWidth="1"/>
    <col min="14" max="14" width="12.140625" style="134" bestFit="1" customWidth="1"/>
    <col min="15" max="15" width="12" style="134" bestFit="1" customWidth="1"/>
    <col min="16" max="16" width="13.140625" style="134" customWidth="1"/>
    <col min="17" max="17" width="11.42578125" style="134"/>
    <col min="18" max="18" width="16.85546875" style="140" bestFit="1" customWidth="1"/>
    <col min="19" max="19" width="12.42578125" style="140" bestFit="1" customWidth="1"/>
    <col min="20" max="20" width="11.7109375" style="140" bestFit="1" customWidth="1"/>
    <col min="21" max="21" width="11.42578125" style="140" bestFit="1"/>
    <col min="22" max="24" width="11.42578125" style="140"/>
    <col min="25" max="25" width="12.85546875" style="140" bestFit="1" customWidth="1"/>
    <col min="26" max="27" width="11.42578125" style="140" bestFit="1"/>
    <col min="28" max="28" width="9.7109375" style="140" bestFit="1" customWidth="1"/>
    <col min="29" max="29" width="8.28515625" style="140" customWidth="1"/>
    <col min="30" max="30" width="9.7109375" style="140" bestFit="1" customWidth="1"/>
    <col min="31" max="31" width="11.42578125" style="231"/>
    <col min="32" max="32" width="13" style="140" customWidth="1"/>
    <col min="33" max="33" width="19.140625" style="231" bestFit="1" customWidth="1"/>
    <col min="34" max="37" width="11.42578125" style="140"/>
    <col min="38" max="38" width="12" style="140" customWidth="1"/>
    <col min="39" max="40" width="11.42578125" style="134"/>
    <col min="41" max="41" width="11.42578125" style="134" bestFit="1"/>
    <col min="42" max="46" width="11.42578125" style="134"/>
    <col min="47" max="48" width="12.28515625" style="132" bestFit="1" customWidth="1"/>
    <col min="49" max="49" width="23.85546875" style="132" customWidth="1"/>
    <col min="50" max="50" width="20.7109375" style="132" bestFit="1" customWidth="1"/>
    <col min="51" max="51" width="11.42578125" style="132"/>
    <col min="52" max="52" width="25" style="132" bestFit="1" customWidth="1"/>
    <col min="53" max="55" width="11.42578125" style="132"/>
    <col min="56" max="56" width="11.42578125" style="132" hidden="1" customWidth="1" outlineLevel="1"/>
    <col min="57" max="57" width="0" style="132" hidden="1" customWidth="1" outlineLevel="1"/>
    <col min="58" max="58" width="11.42578125" style="132" collapsed="1"/>
    <col min="59" max="64" width="11.42578125" style="132"/>
    <col min="65" max="16384" width="11.42578125" style="134"/>
  </cols>
  <sheetData>
    <row r="1" spans="1:64" ht="17.100000000000001" customHeight="1">
      <c r="B1" s="133" t="s">
        <v>169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222"/>
      <c r="AF1" s="133"/>
      <c r="AG1" s="222"/>
      <c r="AH1" s="133"/>
      <c r="AI1" s="133"/>
      <c r="AJ1" s="133"/>
      <c r="AK1" s="133"/>
      <c r="AL1" s="133"/>
      <c r="AM1" s="133"/>
      <c r="AN1" s="133"/>
    </row>
    <row r="2" spans="1:64" ht="17.100000000000001" customHeight="1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222"/>
      <c r="AF2" s="133"/>
      <c r="AG2" s="222"/>
      <c r="AH2" s="133"/>
      <c r="AI2" s="133"/>
      <c r="AJ2" s="133"/>
      <c r="AK2" s="133"/>
      <c r="AL2" s="133"/>
      <c r="AM2" s="133"/>
      <c r="AN2" s="133"/>
    </row>
    <row r="3" spans="1:64" ht="17.100000000000001" customHeight="1"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222"/>
      <c r="AF3" s="133"/>
      <c r="AG3" s="222"/>
      <c r="AH3" s="133"/>
      <c r="AI3" s="133"/>
      <c r="AJ3" s="133"/>
      <c r="AK3" s="133"/>
      <c r="AL3" s="133"/>
      <c r="AM3" s="133"/>
      <c r="AN3" s="133"/>
    </row>
    <row r="4" spans="1:64" ht="15" customHeight="1">
      <c r="B4" s="134"/>
      <c r="E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223"/>
      <c r="AF4" s="134"/>
      <c r="AG4" s="223"/>
      <c r="AH4" s="134"/>
      <c r="AI4" s="134"/>
      <c r="AJ4" s="134"/>
      <c r="AK4" s="134"/>
      <c r="AL4" s="134"/>
    </row>
    <row r="5" spans="1:64">
      <c r="B5" s="134"/>
      <c r="E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223"/>
      <c r="AF5" s="134"/>
      <c r="AG5" s="223"/>
      <c r="AH5" s="134"/>
      <c r="AI5" s="134"/>
      <c r="AJ5" s="134"/>
      <c r="AK5" s="134"/>
      <c r="AL5" s="134"/>
    </row>
    <row r="6" spans="1:64" s="132" customFormat="1" ht="15.75" thickBot="1">
      <c r="R6" s="132" t="s">
        <v>170</v>
      </c>
      <c r="W6" s="138"/>
      <c r="X6" s="138"/>
      <c r="Y6" s="138"/>
      <c r="Z6" s="132" t="s">
        <v>171</v>
      </c>
      <c r="AE6" s="178" t="s">
        <v>172</v>
      </c>
      <c r="AG6" s="178"/>
      <c r="AR6" s="132" t="s">
        <v>173</v>
      </c>
      <c r="AX6" s="132" t="s">
        <v>11</v>
      </c>
      <c r="AY6" s="132" t="s">
        <v>63</v>
      </c>
      <c r="AZ6" s="245" t="s">
        <v>216</v>
      </c>
      <c r="BA6" s="246">
        <v>6.4500000000000002E-2</v>
      </c>
      <c r="BB6" s="246">
        <v>5.4999999999999997E-3</v>
      </c>
      <c r="BD6" s="132" t="s">
        <v>219</v>
      </c>
    </row>
    <row r="7" spans="1:64" s="132" customFormat="1" ht="78.75">
      <c r="C7" s="173" t="s">
        <v>64</v>
      </c>
      <c r="D7" s="174"/>
      <c r="E7" s="174" t="s">
        <v>174</v>
      </c>
      <c r="F7" s="174" t="s">
        <v>175</v>
      </c>
      <c r="G7" s="174" t="s">
        <v>57</v>
      </c>
      <c r="H7" s="167" t="s">
        <v>108</v>
      </c>
      <c r="I7" s="174" t="s">
        <v>176</v>
      </c>
      <c r="J7" s="167" t="s">
        <v>177</v>
      </c>
      <c r="K7" s="167" t="s">
        <v>178</v>
      </c>
      <c r="L7" s="167" t="s">
        <v>179</v>
      </c>
      <c r="M7" s="167" t="s">
        <v>180</v>
      </c>
      <c r="N7" s="167" t="s">
        <v>181</v>
      </c>
      <c r="O7" s="167" t="s">
        <v>182</v>
      </c>
      <c r="P7" s="167" t="s">
        <v>183</v>
      </c>
      <c r="Q7" s="196" t="s">
        <v>184</v>
      </c>
      <c r="R7" s="161" t="s">
        <v>185</v>
      </c>
      <c r="S7" s="162" t="s">
        <v>186</v>
      </c>
      <c r="T7" s="162" t="s">
        <v>187</v>
      </c>
      <c r="U7" s="162" t="s">
        <v>137</v>
      </c>
      <c r="V7" s="162" t="s">
        <v>188</v>
      </c>
      <c r="W7" s="162" t="s">
        <v>189</v>
      </c>
      <c r="X7" s="162" t="s">
        <v>190</v>
      </c>
      <c r="Y7" s="163" t="s">
        <v>65</v>
      </c>
      <c r="Z7" s="205" t="s">
        <v>99</v>
      </c>
      <c r="AA7" s="162" t="s">
        <v>100</v>
      </c>
      <c r="AB7" s="162" t="s">
        <v>191</v>
      </c>
      <c r="AC7" s="162" t="s">
        <v>192</v>
      </c>
      <c r="AD7" s="163" t="s">
        <v>65</v>
      </c>
      <c r="AE7" s="232" t="s">
        <v>11</v>
      </c>
      <c r="AF7" s="162" t="s">
        <v>193</v>
      </c>
      <c r="AG7" s="224" t="s">
        <v>15</v>
      </c>
      <c r="AH7" s="162" t="s">
        <v>194</v>
      </c>
      <c r="AI7" s="162" t="s">
        <v>195</v>
      </c>
      <c r="AJ7" s="162" t="s">
        <v>196</v>
      </c>
      <c r="AK7" s="163" t="s">
        <v>34</v>
      </c>
      <c r="AL7" s="212" t="s">
        <v>197</v>
      </c>
      <c r="AM7" s="162" t="s">
        <v>151</v>
      </c>
      <c r="AN7" s="167" t="s">
        <v>198</v>
      </c>
      <c r="AO7" s="167" t="s">
        <v>199</v>
      </c>
      <c r="AP7" s="175" t="s">
        <v>65</v>
      </c>
      <c r="AQ7" s="214" t="s">
        <v>200</v>
      </c>
      <c r="AR7" s="166" t="s">
        <v>196</v>
      </c>
      <c r="AS7" s="167" t="s">
        <v>123</v>
      </c>
      <c r="AT7" s="167" t="s">
        <v>51</v>
      </c>
      <c r="AU7" s="175" t="s">
        <v>65</v>
      </c>
      <c r="AV7" s="219" t="s">
        <v>201</v>
      </c>
      <c r="AW7" s="219" t="s">
        <v>64</v>
      </c>
      <c r="AX7" s="219" t="s">
        <v>11</v>
      </c>
      <c r="AY7" s="219" t="s">
        <v>65</v>
      </c>
      <c r="AZ7" s="219" t="s">
        <v>15</v>
      </c>
      <c r="BA7" s="219" t="s">
        <v>217</v>
      </c>
      <c r="BB7" s="219" t="s">
        <v>96</v>
      </c>
      <c r="BC7" s="219" t="s">
        <v>218</v>
      </c>
      <c r="BD7" s="252">
        <v>7.0000000000000007E-2</v>
      </c>
      <c r="BE7" s="219" t="s">
        <v>220</v>
      </c>
      <c r="BF7" s="219" t="s">
        <v>221</v>
      </c>
      <c r="BG7" s="219" t="s">
        <v>123</v>
      </c>
      <c r="BH7" s="219"/>
      <c r="BI7" s="219"/>
      <c r="BJ7" s="219"/>
      <c r="BK7" s="219"/>
      <c r="BL7" s="219"/>
    </row>
    <row r="8" spans="1:64" hidden="1">
      <c r="A8" s="134"/>
      <c r="B8" s="134"/>
      <c r="C8" s="176" t="s">
        <v>124</v>
      </c>
      <c r="D8" s="153"/>
      <c r="E8" s="155" t="s">
        <v>125</v>
      </c>
      <c r="F8" s="155" t="s">
        <v>126</v>
      </c>
      <c r="G8" s="155"/>
      <c r="H8" s="184">
        <f>'Liquidacion Filip Carrasco'!C40</f>
        <v>0</v>
      </c>
      <c r="I8" s="155" t="s">
        <v>202</v>
      </c>
      <c r="J8" s="153"/>
      <c r="K8" s="153"/>
      <c r="L8" s="153"/>
      <c r="M8" s="153"/>
      <c r="N8" s="156"/>
      <c r="O8" s="153"/>
      <c r="P8" s="157">
        <f>+N8+O8</f>
        <v>0</v>
      </c>
      <c r="Q8" s="197"/>
      <c r="R8" s="168">
        <v>1135354</v>
      </c>
      <c r="S8" s="158" t="s">
        <v>203</v>
      </c>
      <c r="T8" s="158" t="s">
        <v>203</v>
      </c>
      <c r="U8" s="135" t="s">
        <v>203</v>
      </c>
      <c r="V8" s="158" t="s">
        <v>203</v>
      </c>
      <c r="W8" s="158">
        <f>'Liquidacion Filip Carrasco'!C9</f>
        <v>150416.66666666666</v>
      </c>
      <c r="X8" s="158"/>
      <c r="Y8" s="171">
        <f>SUM(R8:W8)</f>
        <v>1285770.6666666667</v>
      </c>
      <c r="Z8" s="188">
        <v>50000</v>
      </c>
      <c r="AA8" s="135">
        <v>50000</v>
      </c>
      <c r="AB8" s="135">
        <v>0</v>
      </c>
      <c r="AC8" s="135">
        <v>0</v>
      </c>
      <c r="AD8" s="164">
        <f>SUM(Z8:AC8)</f>
        <v>100000</v>
      </c>
      <c r="AE8" s="233" t="str">
        <f>'Liquidacion Filip Carrasco'!C6</f>
        <v>Habitat</v>
      </c>
      <c r="AF8" s="135">
        <f>'Liquidacion Filip Carrasco'!E8</f>
        <v>144906</v>
      </c>
      <c r="AG8" s="225" t="str">
        <f>'Liquidacion Filip Carrasco'!D4</f>
        <v>ISAPRE Nueva Masvida</v>
      </c>
      <c r="AH8" s="135">
        <f>'Liquidacion Filip Carrasco'!E10+'Liquidacion Filip Carrasco'!E9</f>
        <v>173603</v>
      </c>
      <c r="AI8" s="135">
        <f>'Liquidacion Filip Carrasco'!E11</f>
        <v>7301</v>
      </c>
      <c r="AJ8" s="135">
        <f>'Liquidacion Filip Carrasco'!E12</f>
        <v>7715</v>
      </c>
      <c r="AK8" s="164">
        <f>AJ8+AI8+AH8+AF8</f>
        <v>333525</v>
      </c>
      <c r="AL8" s="203"/>
      <c r="AM8" s="155"/>
      <c r="AN8" s="155">
        <f>'Liquidacion Filip Carrasco'!E13</f>
        <v>0</v>
      </c>
      <c r="AO8" s="155">
        <f>'Liquidacion Filip Carrasco'!E14</f>
        <v>0</v>
      </c>
      <c r="AP8" s="177">
        <f>SUM(AM8:AO8)</f>
        <v>0</v>
      </c>
      <c r="AQ8" s="215">
        <f>Y8+AD8-AK8-AP8</f>
        <v>1052245.6666666667</v>
      </c>
      <c r="AR8" s="168">
        <f>'Liquidacion Filip Carrasco'!D32</f>
        <v>30859.496000000003</v>
      </c>
      <c r="AS8" s="135">
        <f>'Liquidacion Filip Carrasco'!D33</f>
        <v>11957.6672</v>
      </c>
      <c r="AT8" s="135">
        <f>'Liquidacion Filip Carrasco'!D34</f>
        <v>23915.3344</v>
      </c>
      <c r="AU8" s="164">
        <f>SUM(AR8:AT8)</f>
        <v>66732.497600000002</v>
      </c>
      <c r="AV8" s="220">
        <f>'Liquidacion Filip Carrasco'!D35</f>
        <v>1452503.1642666669</v>
      </c>
      <c r="AW8" s="248" t="str">
        <f>C8</f>
        <v>Filip Carrasco</v>
      </c>
      <c r="AX8" s="140" t="str">
        <f>AE8</f>
        <v>Habitat</v>
      </c>
      <c r="AY8" s="140">
        <f>AF8+AT8+AJ8+AR8</f>
        <v>207395.83040000001</v>
      </c>
      <c r="AZ8" s="134" t="str">
        <f>AG8</f>
        <v>ISAPRE Nueva Masvida</v>
      </c>
      <c r="BA8" s="247">
        <v>0</v>
      </c>
      <c r="BB8" s="247">
        <v>0</v>
      </c>
      <c r="BC8" s="247">
        <v>0</v>
      </c>
      <c r="BD8" s="247">
        <f>'Liquidacion Filip Carrasco'!E9</f>
        <v>90004</v>
      </c>
      <c r="BE8" s="247">
        <f>'Liquidacion Filip Carrasco'!E10</f>
        <v>83599</v>
      </c>
      <c r="BF8" s="251">
        <f>SUM(BD8:BE8)</f>
        <v>173603</v>
      </c>
      <c r="BG8" s="140">
        <f>AS8</f>
        <v>11957.6672</v>
      </c>
      <c r="BH8" s="134"/>
      <c r="BI8" s="134"/>
      <c r="BJ8" s="134"/>
      <c r="BK8" s="134"/>
      <c r="BL8" s="134"/>
    </row>
    <row r="9" spans="1:64" hidden="1">
      <c r="A9" s="134"/>
      <c r="B9" s="134"/>
      <c r="C9" s="176" t="s">
        <v>128</v>
      </c>
      <c r="D9" s="153"/>
      <c r="E9" s="155" t="s">
        <v>129</v>
      </c>
      <c r="F9" s="155" t="s">
        <v>130</v>
      </c>
      <c r="G9" s="155"/>
      <c r="H9" s="155"/>
      <c r="I9" s="155" t="s">
        <v>202</v>
      </c>
      <c r="J9" s="153"/>
      <c r="K9" s="153">
        <v>1</v>
      </c>
      <c r="L9" s="153"/>
      <c r="M9" s="153"/>
      <c r="N9" s="153"/>
      <c r="O9" s="153"/>
      <c r="P9" s="157">
        <f t="shared" ref="P9:P10" si="0">+N9+O9</f>
        <v>0</v>
      </c>
      <c r="Q9" s="197"/>
      <c r="R9" s="168">
        <v>512758</v>
      </c>
      <c r="S9" s="158" t="s">
        <v>203</v>
      </c>
      <c r="T9" s="158">
        <v>50000</v>
      </c>
      <c r="U9" s="135" t="s">
        <v>203</v>
      </c>
      <c r="V9" s="158" t="s">
        <v>203</v>
      </c>
      <c r="W9" s="158">
        <f>'Liquidacion Rolando Carrasco'!C9</f>
        <v>140689.5</v>
      </c>
      <c r="X9" s="158"/>
      <c r="Y9" s="171">
        <f t="shared" ref="Y9:Y18" si="1">SUM(R9:W9)</f>
        <v>703447.5</v>
      </c>
      <c r="Z9" s="188">
        <v>50000</v>
      </c>
      <c r="AA9" s="135">
        <v>50000</v>
      </c>
      <c r="AB9" s="135">
        <v>0</v>
      </c>
      <c r="AC9" s="135">
        <v>0</v>
      </c>
      <c r="AD9" s="164">
        <f t="shared" ref="AD9:AD18" si="2">SUM(Z9:AC9)</f>
        <v>100000</v>
      </c>
      <c r="AE9" s="233" t="str">
        <f>'Liquidacion Rolando Carrasco'!C6</f>
        <v>Habitat</v>
      </c>
      <c r="AF9" s="135">
        <f>'Liquidacion Rolando Carrasco'!E8</f>
        <v>79279</v>
      </c>
      <c r="AG9" s="226" t="str">
        <f>'Liquidacion Rolando Carrasco'!D4</f>
        <v>FONASA</v>
      </c>
      <c r="AH9" s="135">
        <f>'Liquidacion Rolando Carrasco'!E9</f>
        <v>49241</v>
      </c>
      <c r="AI9" s="135">
        <f>'Liquidacion Rolando Carrasco'!E11</f>
        <v>0</v>
      </c>
      <c r="AJ9" s="135">
        <f>'Liquidacion Rolando Carrasco'!E12</f>
        <v>4221</v>
      </c>
      <c r="AK9" s="164">
        <f t="shared" ref="AK9:AK18" si="3">AJ9+AI9+AH9+AF9</f>
        <v>132741</v>
      </c>
      <c r="AL9" s="203"/>
      <c r="AM9" s="155"/>
      <c r="AN9" s="155"/>
      <c r="AO9" s="155"/>
      <c r="AP9" s="177">
        <f t="shared" ref="AP9:AP17" si="4">SUM(AM9:AO9)</f>
        <v>0</v>
      </c>
      <c r="AQ9" s="215">
        <f t="shared" ref="AQ9:AQ18" si="5">Y9+AD9-AK9-AP9</f>
        <v>670706.5</v>
      </c>
      <c r="AR9" s="168">
        <f>'Liquidacion Rolando Carrasco'!D32</f>
        <v>16882.740000000002</v>
      </c>
      <c r="AS9" s="135">
        <f>'Liquidacion Rolando Carrasco'!D33</f>
        <v>6542.0617499999998</v>
      </c>
      <c r="AT9" s="135">
        <f>'Liquidacion Rolando Carrasco'!D34</f>
        <v>13084.1235</v>
      </c>
      <c r="AU9" s="164">
        <f t="shared" ref="AU9:AU18" si="6">SUM(AR9:AT9)</f>
        <v>36508.92525</v>
      </c>
      <c r="AV9" s="220">
        <f>'Liquidacion Rolando Carrasco'!D35</f>
        <v>839956.42524999997</v>
      </c>
      <c r="AW9" s="248" t="str">
        <f t="shared" ref="AW9:AW18" si="7">C9</f>
        <v>Rolando Carrasco</v>
      </c>
      <c r="AX9" s="140" t="str">
        <f t="shared" ref="AX9:AX18" si="8">AE9</f>
        <v>Habitat</v>
      </c>
      <c r="AY9" s="140">
        <f t="shared" ref="AY9:AY17" si="9">AF9+AT9+AJ9+AR9</f>
        <v>113466.86350000001</v>
      </c>
      <c r="AZ9" s="134" t="str">
        <f t="shared" ref="AZ9:AZ18" si="10">AG9</f>
        <v>FONASA</v>
      </c>
      <c r="BA9" s="247">
        <f>Y9*$BA$6</f>
        <v>45372.363750000004</v>
      </c>
      <c r="BB9" s="247">
        <f>Y9*$BB$6</f>
        <v>3868.9612499999998</v>
      </c>
      <c r="BC9" s="247">
        <v>0</v>
      </c>
      <c r="BD9" s="247">
        <v>0</v>
      </c>
      <c r="BE9" s="247">
        <v>0</v>
      </c>
      <c r="BF9" s="251">
        <f t="shared" ref="BF9:BF18" si="11">SUM(BD9:BE9)</f>
        <v>0</v>
      </c>
      <c r="BG9" s="140">
        <f t="shared" ref="BG9:BG18" si="12">AS9</f>
        <v>6542.0617499999998</v>
      </c>
      <c r="BH9" s="134"/>
      <c r="BI9" s="134"/>
      <c r="BJ9" s="134"/>
      <c r="BK9" s="134"/>
      <c r="BL9" s="134"/>
    </row>
    <row r="10" spans="1:64" hidden="1">
      <c r="A10" s="134"/>
      <c r="B10" s="134"/>
      <c r="C10" s="176" t="s">
        <v>133</v>
      </c>
      <c r="D10" s="153"/>
      <c r="E10" s="155" t="s">
        <v>134</v>
      </c>
      <c r="F10" s="155" t="s">
        <v>135</v>
      </c>
      <c r="G10" s="155"/>
      <c r="H10" s="155"/>
      <c r="I10" s="155" t="s">
        <v>202</v>
      </c>
      <c r="J10" s="153"/>
      <c r="K10" s="153"/>
      <c r="L10" s="153"/>
      <c r="M10" s="153"/>
      <c r="N10" s="153"/>
      <c r="O10" s="153"/>
      <c r="P10" s="157">
        <f t="shared" si="0"/>
        <v>0</v>
      </c>
      <c r="Q10" s="197"/>
      <c r="R10" s="168">
        <v>1365800</v>
      </c>
      <c r="S10" s="158" t="s">
        <v>203</v>
      </c>
      <c r="T10" s="158" t="s">
        <v>203</v>
      </c>
      <c r="U10" s="135" t="s">
        <v>203</v>
      </c>
      <c r="V10" s="158" t="s">
        <v>203</v>
      </c>
      <c r="W10" s="158">
        <f>'Liquidacion Helena Carrascova'!C9</f>
        <v>0</v>
      </c>
      <c r="X10" s="158"/>
      <c r="Y10" s="171">
        <f t="shared" si="1"/>
        <v>1365800</v>
      </c>
      <c r="Z10" s="189" t="s">
        <v>203</v>
      </c>
      <c r="AA10" s="158" t="s">
        <v>203</v>
      </c>
      <c r="AB10" s="135">
        <v>0</v>
      </c>
      <c r="AC10" s="158">
        <v>0</v>
      </c>
      <c r="AD10" s="164">
        <f t="shared" si="2"/>
        <v>0</v>
      </c>
      <c r="AE10" s="233" t="str">
        <f>'Liquidacion Helena Carrascova'!C6</f>
        <v>Habitat</v>
      </c>
      <c r="AF10" s="135">
        <f>'Liquidacion Helena Carrascova'!E8</f>
        <v>153926</v>
      </c>
      <c r="AG10" s="227" t="str">
        <f>'Liquidacion Helena Carrascova'!D4</f>
        <v>ISAPRE Vida Tres</v>
      </c>
      <c r="AH10" s="135">
        <f>'Liquidacion Helena Carrascova'!E5</f>
        <v>172567</v>
      </c>
      <c r="AI10" s="135">
        <f>'Liquidacion Helena Carrascova'!E11</f>
        <v>10492</v>
      </c>
      <c r="AJ10" s="135">
        <f>'Liquidacion Helena Carrascova'!E12</f>
        <v>0</v>
      </c>
      <c r="AK10" s="164">
        <f t="shared" si="3"/>
        <v>336985</v>
      </c>
      <c r="AL10" s="203"/>
      <c r="AM10" s="155"/>
      <c r="AN10" s="155"/>
      <c r="AO10" s="155"/>
      <c r="AP10" s="177">
        <f t="shared" si="4"/>
        <v>0</v>
      </c>
      <c r="AQ10" s="215">
        <f t="shared" si="5"/>
        <v>1028815</v>
      </c>
      <c r="AR10" s="168">
        <f>'Liquidacion Helena Carrascova'!D32</f>
        <v>40974</v>
      </c>
      <c r="AS10" s="135">
        <f>'Liquidacion Helena Carrascova'!D33</f>
        <v>12701.939999999999</v>
      </c>
      <c r="AT10" s="135">
        <f>'Liquidacion Helena Carrascova'!D34</f>
        <v>25403.879999999997</v>
      </c>
      <c r="AU10" s="164">
        <f t="shared" si="6"/>
        <v>79079.820000000007</v>
      </c>
      <c r="AV10" s="220">
        <f>'Liquidacion Helena Carrascova'!D35</f>
        <v>1444879.8199999998</v>
      </c>
      <c r="AW10" s="248" t="str">
        <f t="shared" si="7"/>
        <v>Helena Carrascova</v>
      </c>
      <c r="AX10" s="140" t="str">
        <f t="shared" si="8"/>
        <v>Habitat</v>
      </c>
      <c r="AY10" s="140">
        <f t="shared" si="9"/>
        <v>220303.88</v>
      </c>
      <c r="AZ10" s="134" t="str">
        <f t="shared" si="10"/>
        <v>ISAPRE Vida Tres</v>
      </c>
      <c r="BA10" s="247">
        <v>0</v>
      </c>
      <c r="BB10" s="247">
        <v>0</v>
      </c>
      <c r="BC10" s="247">
        <v>0</v>
      </c>
      <c r="BD10" s="247">
        <f>'Liquidacion Helena Carrascova'!E9</f>
        <v>95606</v>
      </c>
      <c r="BE10" s="247">
        <f>'Liquidacion Helena Carrascova'!E10</f>
        <v>76961</v>
      </c>
      <c r="BF10" s="251">
        <f t="shared" si="11"/>
        <v>172567</v>
      </c>
      <c r="BG10" s="140">
        <f t="shared" si="12"/>
        <v>12701.939999999999</v>
      </c>
      <c r="BH10" s="134"/>
      <c r="BI10" s="134"/>
      <c r="BJ10" s="134"/>
      <c r="BK10" s="134"/>
      <c r="BL10" s="134"/>
    </row>
    <row r="11" spans="1:64" hidden="1">
      <c r="A11" s="134"/>
      <c r="B11" s="134"/>
      <c r="C11" s="176" t="s">
        <v>139</v>
      </c>
      <c r="D11" s="153"/>
      <c r="E11" s="155" t="s">
        <v>140</v>
      </c>
      <c r="F11" s="155" t="s">
        <v>141</v>
      </c>
      <c r="G11" s="155"/>
      <c r="H11" s="155"/>
      <c r="I11" s="155" t="s">
        <v>202</v>
      </c>
      <c r="J11" s="153" t="s">
        <v>204</v>
      </c>
      <c r="K11" s="153"/>
      <c r="L11" s="153"/>
      <c r="M11" s="153"/>
      <c r="N11" s="153"/>
      <c r="O11" s="159"/>
      <c r="P11" s="157">
        <f>+N11+O11</f>
        <v>0</v>
      </c>
      <c r="Q11" s="197"/>
      <c r="R11" s="168">
        <v>380000</v>
      </c>
      <c r="S11" s="135">
        <v>778030</v>
      </c>
      <c r="T11" s="158" t="s">
        <v>203</v>
      </c>
      <c r="U11" s="135">
        <f>+R11*15%</f>
        <v>57000</v>
      </c>
      <c r="V11" s="158" t="s">
        <v>203</v>
      </c>
      <c r="W11" s="158">
        <f>'Liquidacion Angelis Fernandez'!C9</f>
        <v>150416.66666666666</v>
      </c>
      <c r="X11" s="158"/>
      <c r="Y11" s="171">
        <f t="shared" si="1"/>
        <v>1365446.6666666667</v>
      </c>
      <c r="Z11" s="188">
        <v>21000</v>
      </c>
      <c r="AA11" s="135">
        <v>21000</v>
      </c>
      <c r="AB11" s="135">
        <v>0</v>
      </c>
      <c r="AC11" s="135">
        <v>0</v>
      </c>
      <c r="AD11" s="164">
        <f t="shared" si="2"/>
        <v>42000</v>
      </c>
      <c r="AE11" s="233" t="str">
        <f>'Liquidacion Angelis Fernandez'!C6</f>
        <v>PlanVital</v>
      </c>
      <c r="AF11" s="135">
        <f>'Liquidacion Angelis Fernandez'!E8</f>
        <v>152384</v>
      </c>
      <c r="AG11" s="226" t="str">
        <f>'Liquidacion Angelis Fernandez'!D9</f>
        <v>FONASA</v>
      </c>
      <c r="AH11" s="135">
        <f>'Liquidacion Angelis Fernandez'!E9</f>
        <v>95581</v>
      </c>
      <c r="AI11" s="135">
        <f>'Liquidacion Angelis Fernandez'!E11</f>
        <v>13291</v>
      </c>
      <c r="AJ11" s="135">
        <f>'Liquidacion Angelis Fernandez'!E12</f>
        <v>8193</v>
      </c>
      <c r="AK11" s="164">
        <f t="shared" si="3"/>
        <v>269449</v>
      </c>
      <c r="AL11" s="203"/>
      <c r="AM11" s="155"/>
      <c r="AN11" s="155"/>
      <c r="AO11" s="155"/>
      <c r="AP11" s="177">
        <f t="shared" si="4"/>
        <v>0</v>
      </c>
      <c r="AQ11" s="215">
        <f>Y11+AD11-AK11-AP11</f>
        <v>1137997.6666666667</v>
      </c>
      <c r="AR11" s="168">
        <f>'Liquidacion Angelis Fernandez'!D32</f>
        <v>32770.719999999994</v>
      </c>
      <c r="AS11" s="135">
        <f>'Liquidacion Angelis Fernandez'!D33</f>
        <v>12698.653999999997</v>
      </c>
      <c r="AT11" s="135">
        <f>'Liquidacion Angelis Fernandez'!D34</f>
        <v>25397.307999999994</v>
      </c>
      <c r="AU11" s="164">
        <f t="shared" si="6"/>
        <v>70866.681999999986</v>
      </c>
      <c r="AV11" s="220">
        <f>'Liquidacion Angelis Fernandez'!D35</f>
        <v>1478313.3486666665</v>
      </c>
      <c r="AW11" s="248" t="str">
        <f t="shared" si="7"/>
        <v>Angelis Fernandez</v>
      </c>
      <c r="AX11" s="140" t="str">
        <f t="shared" si="8"/>
        <v>PlanVital</v>
      </c>
      <c r="AY11" s="140">
        <f t="shared" si="9"/>
        <v>218745.02799999999</v>
      </c>
      <c r="AZ11" s="134" t="str">
        <f t="shared" si="10"/>
        <v>FONASA</v>
      </c>
      <c r="BA11" s="247">
        <f t="shared" ref="BA11:BA18" si="13">Y11*$BA$6</f>
        <v>88071.310000000012</v>
      </c>
      <c r="BB11" s="247">
        <f t="shared" ref="BB11:BB18" si="14">Y11*$BB$6</f>
        <v>7509.9566666666669</v>
      </c>
      <c r="BC11" s="247">
        <v>0</v>
      </c>
      <c r="BD11" s="247">
        <v>0</v>
      </c>
      <c r="BE11" s="247">
        <v>0</v>
      </c>
      <c r="BF11" s="251">
        <f t="shared" si="11"/>
        <v>0</v>
      </c>
      <c r="BG11" s="140">
        <f t="shared" si="12"/>
        <v>12698.653999999997</v>
      </c>
      <c r="BH11" s="134"/>
      <c r="BI11" s="134"/>
      <c r="BJ11" s="134"/>
      <c r="BK11" s="134"/>
      <c r="BL11" s="134"/>
    </row>
    <row r="12" spans="1:64" hidden="1">
      <c r="A12" s="134"/>
      <c r="B12" s="134"/>
      <c r="C12" s="176" t="s">
        <v>148</v>
      </c>
      <c r="D12" s="153"/>
      <c r="E12" s="155" t="s">
        <v>149</v>
      </c>
      <c r="F12" s="155" t="s">
        <v>150</v>
      </c>
      <c r="G12" s="155"/>
      <c r="H12" s="155"/>
      <c r="I12" s="155" t="s">
        <v>205</v>
      </c>
      <c r="J12" s="153"/>
      <c r="K12" s="153">
        <v>1</v>
      </c>
      <c r="L12" s="153"/>
      <c r="M12" s="153"/>
      <c r="N12" s="153"/>
      <c r="O12" s="159">
        <v>6.0416666666666667E-2</v>
      </c>
      <c r="P12" s="157">
        <f t="shared" ref="P12:P14" si="15">+N12+O12</f>
        <v>6.0416666666666667E-2</v>
      </c>
      <c r="Q12" s="198"/>
      <c r="R12" s="168">
        <v>380000</v>
      </c>
      <c r="S12" s="135" t="s">
        <v>203</v>
      </c>
      <c r="T12" s="158">
        <v>464302</v>
      </c>
      <c r="U12" s="135">
        <f>+R12*15%</f>
        <v>57000</v>
      </c>
      <c r="V12" s="158" t="s">
        <v>203</v>
      </c>
      <c r="W12" s="158">
        <f>'Liquidacion Carlos Figueroa'!C9</f>
        <v>150416.66666666666</v>
      </c>
      <c r="X12" s="158">
        <f>'Liquidacion Carlos Figueroa'!G3-'Liquidacion Carlos Figueroa'!C8</f>
        <v>3061.111111111124</v>
      </c>
      <c r="Y12" s="171">
        <f>SUM(R12:W12)-X12</f>
        <v>1048657.5555555555</v>
      </c>
      <c r="Z12" s="188">
        <v>58500</v>
      </c>
      <c r="AA12" s="135">
        <v>58500</v>
      </c>
      <c r="AB12" s="135">
        <v>0</v>
      </c>
      <c r="AC12" s="135">
        <v>0</v>
      </c>
      <c r="AD12" s="164">
        <f t="shared" si="2"/>
        <v>117000</v>
      </c>
      <c r="AE12" s="233" t="str">
        <f>'Liquidacion Carlos Figueroa'!C6</f>
        <v>PlanVital</v>
      </c>
      <c r="AF12" s="135">
        <f>'Liquidacion Carlos Figueroa'!E8</f>
        <v>117030</v>
      </c>
      <c r="AG12" s="226" t="str">
        <f>'Liquidacion Carlos Figueroa'!D4</f>
        <v>FONASA</v>
      </c>
      <c r="AH12" s="135">
        <f>'Liquidacion Carlos Figueroa'!E9</f>
        <v>73406</v>
      </c>
      <c r="AI12" s="135">
        <f>'Liquidacion Carlos Figueroa'!E11</f>
        <v>2996</v>
      </c>
      <c r="AJ12" s="135">
        <f>'Liquidacion Carlos Figueroa'!E12</f>
        <v>6292</v>
      </c>
      <c r="AK12" s="164">
        <f t="shared" si="3"/>
        <v>199724</v>
      </c>
      <c r="AL12" s="154"/>
      <c r="AM12" s="153"/>
      <c r="AN12" s="155"/>
      <c r="AO12" s="136"/>
      <c r="AP12" s="177">
        <f t="shared" si="4"/>
        <v>0</v>
      </c>
      <c r="AQ12" s="215">
        <f t="shared" si="5"/>
        <v>965933.5555555555</v>
      </c>
      <c r="AR12" s="168">
        <f>'Liquidacion Carlos Figueroa'!D32</f>
        <v>25167.781333333332</v>
      </c>
      <c r="AS12" s="135">
        <f>'Liquidacion Carlos Figueroa'!D33</f>
        <v>9752.5152666666654</v>
      </c>
      <c r="AT12" s="135">
        <f>'Liquidacion Carlos Figueroa'!D34</f>
        <v>19505.030533333331</v>
      </c>
      <c r="AU12" s="164">
        <f t="shared" si="6"/>
        <v>54425.327133333332</v>
      </c>
      <c r="AV12" s="220">
        <f>'Liquidacion Carlos Figueroa'!D35</f>
        <v>1220082.8826888888</v>
      </c>
      <c r="AW12" s="248" t="str">
        <f t="shared" si="7"/>
        <v>Carlos Figueroa</v>
      </c>
      <c r="AX12" s="140" t="str">
        <f t="shared" si="8"/>
        <v>PlanVital</v>
      </c>
      <c r="AY12" s="140">
        <f t="shared" si="9"/>
        <v>167994.81186666666</v>
      </c>
      <c r="AZ12" s="134" t="str">
        <f t="shared" si="10"/>
        <v>FONASA</v>
      </c>
      <c r="BA12" s="247">
        <f t="shared" si="13"/>
        <v>67638.412333333326</v>
      </c>
      <c r="BB12" s="247">
        <f t="shared" si="14"/>
        <v>5767.6165555555554</v>
      </c>
      <c r="BC12" s="247">
        <v>0</v>
      </c>
      <c r="BD12" s="247">
        <v>0</v>
      </c>
      <c r="BE12" s="247">
        <v>0</v>
      </c>
      <c r="BF12" s="251">
        <f t="shared" si="11"/>
        <v>0</v>
      </c>
      <c r="BG12" s="140">
        <f t="shared" si="12"/>
        <v>9752.5152666666654</v>
      </c>
      <c r="BH12" s="134"/>
      <c r="BI12" s="134"/>
      <c r="BJ12" s="134"/>
      <c r="BK12" s="134"/>
      <c r="BL12" s="134"/>
    </row>
    <row r="13" spans="1:64" hidden="1">
      <c r="A13" s="134"/>
      <c r="B13" s="134"/>
      <c r="C13" s="176" t="s">
        <v>152</v>
      </c>
      <c r="D13" s="153"/>
      <c r="E13" s="155" t="s">
        <v>153</v>
      </c>
      <c r="F13" s="155" t="s">
        <v>150</v>
      </c>
      <c r="G13" s="155"/>
      <c r="H13" s="155"/>
      <c r="I13" s="155" t="s">
        <v>205</v>
      </c>
      <c r="J13" s="153"/>
      <c r="K13" s="153">
        <v>1</v>
      </c>
      <c r="L13" s="153"/>
      <c r="M13" s="153"/>
      <c r="N13" s="153"/>
      <c r="O13" s="159">
        <v>6.0416666666666667E-2</v>
      </c>
      <c r="P13" s="157">
        <f t="shared" si="15"/>
        <v>6.0416666666666667E-2</v>
      </c>
      <c r="Q13" s="198"/>
      <c r="R13" s="168">
        <v>380000</v>
      </c>
      <c r="S13" s="135" t="s">
        <v>203</v>
      </c>
      <c r="T13" s="158">
        <v>351001</v>
      </c>
      <c r="U13" s="135" t="s">
        <v>203</v>
      </c>
      <c r="V13" s="158" t="s">
        <v>203</v>
      </c>
      <c r="W13" s="158">
        <f>'Liquidacion Favio Remache'!C9</f>
        <v>150416.66666666666</v>
      </c>
      <c r="X13" s="158">
        <f>'Liquidacion Favio Remache'!G3-'Liquidacion Favio Remache'!G9</f>
        <v>3061.111111111124</v>
      </c>
      <c r="Y13" s="171">
        <f>SUM(R13:W13)-X13</f>
        <v>878356.5555555555</v>
      </c>
      <c r="Z13" s="188" t="s">
        <v>203</v>
      </c>
      <c r="AA13" s="135">
        <v>17135</v>
      </c>
      <c r="AB13" s="135">
        <v>0</v>
      </c>
      <c r="AC13" s="135">
        <v>0</v>
      </c>
      <c r="AD13" s="164">
        <f t="shared" si="2"/>
        <v>17135</v>
      </c>
      <c r="AE13" s="233" t="str">
        <f>'Liquidacion Favio Remache'!C6</f>
        <v>PlanVital</v>
      </c>
      <c r="AF13" s="135">
        <f>'Liquidacion Favio Remache'!E8</f>
        <v>98025</v>
      </c>
      <c r="AG13" s="226" t="str">
        <f>'Liquidacion Favio Remache'!D4</f>
        <v>FONASA</v>
      </c>
      <c r="AH13" s="135">
        <f>'Liquidacion Favio Remache'!E9</f>
        <v>61485</v>
      </c>
      <c r="AI13" s="135">
        <f>'Liquidacion Favio Remache'!E11</f>
        <v>0</v>
      </c>
      <c r="AJ13" s="135">
        <f>'Liquidacion Favio Remache'!E12</f>
        <v>5270</v>
      </c>
      <c r="AK13" s="164">
        <f t="shared" si="3"/>
        <v>164780</v>
      </c>
      <c r="AL13" s="203" t="s">
        <v>206</v>
      </c>
      <c r="AM13" s="185">
        <v>100000</v>
      </c>
      <c r="AN13" s="153"/>
      <c r="AO13" s="153"/>
      <c r="AP13" s="177">
        <f t="shared" si="4"/>
        <v>100000</v>
      </c>
      <c r="AQ13" s="215">
        <f>Y13+AD13-AK13-AP13</f>
        <v>630711.5555555555</v>
      </c>
      <c r="AR13" s="168">
        <f>'Liquidacion Favio Remache'!D32</f>
        <v>21080.557333333334</v>
      </c>
      <c r="AS13" s="135">
        <f>'Liquidacion Favio Remache'!D33</f>
        <v>8168.7159666666657</v>
      </c>
      <c r="AT13" s="135">
        <f>'Liquidacion Favio Remache'!D34</f>
        <v>16337.431933333331</v>
      </c>
      <c r="AU13" s="164">
        <f t="shared" si="6"/>
        <v>45586.705233333334</v>
      </c>
      <c r="AV13" s="220">
        <f>'Liquidacion Favio Remache'!D35</f>
        <v>941078.26078888879</v>
      </c>
      <c r="AW13" s="248" t="str">
        <f t="shared" si="7"/>
        <v>Favio Remache</v>
      </c>
      <c r="AX13" s="140" t="str">
        <f t="shared" si="8"/>
        <v>PlanVital</v>
      </c>
      <c r="AY13" s="140">
        <f t="shared" si="9"/>
        <v>140712.98926666667</v>
      </c>
      <c r="AZ13" s="134" t="str">
        <f t="shared" si="10"/>
        <v>FONASA</v>
      </c>
      <c r="BA13" s="247">
        <f t="shared" si="13"/>
        <v>56653.997833333335</v>
      </c>
      <c r="BB13" s="247">
        <f t="shared" si="14"/>
        <v>4830.9610555555546</v>
      </c>
      <c r="BC13" s="247">
        <v>0</v>
      </c>
      <c r="BD13" s="247">
        <v>0</v>
      </c>
      <c r="BE13" s="247">
        <v>0</v>
      </c>
      <c r="BF13" s="251">
        <f t="shared" si="11"/>
        <v>0</v>
      </c>
      <c r="BG13" s="140">
        <f t="shared" si="12"/>
        <v>8168.7159666666657</v>
      </c>
      <c r="BH13" s="134"/>
      <c r="BI13" s="134"/>
      <c r="BJ13" s="134"/>
      <c r="BK13" s="134"/>
      <c r="BL13" s="134"/>
    </row>
    <row r="14" spans="1:64">
      <c r="A14" s="134"/>
      <c r="B14" s="134"/>
      <c r="C14" s="176" t="s">
        <v>155</v>
      </c>
      <c r="D14" s="153"/>
      <c r="E14" s="155" t="s">
        <v>156</v>
      </c>
      <c r="F14" s="155" t="s">
        <v>135</v>
      </c>
      <c r="G14" s="155"/>
      <c r="H14" s="155"/>
      <c r="I14" s="155" t="s">
        <v>205</v>
      </c>
      <c r="J14" s="153" t="s">
        <v>204</v>
      </c>
      <c r="K14" s="153"/>
      <c r="L14" s="153"/>
      <c r="M14" s="153"/>
      <c r="N14" s="157"/>
      <c r="O14" s="157"/>
      <c r="P14" s="157">
        <f t="shared" si="15"/>
        <v>0</v>
      </c>
      <c r="Q14" s="198"/>
      <c r="R14" s="168">
        <v>382000</v>
      </c>
      <c r="S14" s="135">
        <v>657684</v>
      </c>
      <c r="T14" s="158" t="s">
        <v>203</v>
      </c>
      <c r="U14" s="135">
        <f>+R14*15%</f>
        <v>57300</v>
      </c>
      <c r="V14" s="135" t="s">
        <v>203</v>
      </c>
      <c r="W14" s="135">
        <f>'Liquidacion Ingrid Soto'!C9</f>
        <v>150416.66666666666</v>
      </c>
      <c r="X14" s="135"/>
      <c r="Y14" s="171">
        <f t="shared" si="1"/>
        <v>1247400.6666666667</v>
      </c>
      <c r="Z14" s="188">
        <v>80000</v>
      </c>
      <c r="AA14" s="135">
        <v>65998</v>
      </c>
      <c r="AB14" s="135">
        <v>0</v>
      </c>
      <c r="AC14" s="135">
        <v>0</v>
      </c>
      <c r="AD14" s="164">
        <f t="shared" si="2"/>
        <v>145998</v>
      </c>
      <c r="AE14" s="233" t="str">
        <f>'Liquidacion Ingrid Soto'!C6</f>
        <v>Provida</v>
      </c>
      <c r="AF14" s="135">
        <f>'Liquidacion Ingrid Soto'!E8</f>
        <v>142827</v>
      </c>
      <c r="AG14" s="226" t="str">
        <f>'Liquidacion Ingrid Soto'!D4</f>
        <v>FONASA</v>
      </c>
      <c r="AH14" s="135">
        <f>'Liquidacion Ingrid Soto'!E9</f>
        <v>87318</v>
      </c>
      <c r="AI14" s="135">
        <f>'Liquidacion Ingrid Soto'!E11</f>
        <v>9609</v>
      </c>
      <c r="AJ14" s="135">
        <f>'Liquidacion Ingrid Soto'!E12</f>
        <v>0</v>
      </c>
      <c r="AK14" s="164">
        <f t="shared" si="3"/>
        <v>239754</v>
      </c>
      <c r="AL14" s="204"/>
      <c r="AM14" s="155"/>
      <c r="AN14" s="155"/>
      <c r="AO14" s="155"/>
      <c r="AP14" s="177">
        <f t="shared" si="4"/>
        <v>0</v>
      </c>
      <c r="AQ14" s="215">
        <f t="shared" si="5"/>
        <v>1153644.6666666667</v>
      </c>
      <c r="AR14" s="168">
        <f>'Liquidacion Ingrid Soto'!D32</f>
        <v>37422.019999999997</v>
      </c>
      <c r="AS14" s="135">
        <f>'Liquidacion Ingrid Soto'!D33</f>
        <v>11600.826199999998</v>
      </c>
      <c r="AT14" s="135">
        <f>'Liquidacion Ingrid Soto'!D34</f>
        <v>23201.652399999995</v>
      </c>
      <c r="AU14" s="164">
        <f t="shared" si="6"/>
        <v>72224.498599999992</v>
      </c>
      <c r="AV14" s="220">
        <f>'Liquidacion Ingrid Soto'!D35</f>
        <v>1465623.1652666666</v>
      </c>
      <c r="AW14" s="248" t="str">
        <f t="shared" si="7"/>
        <v>Ingrid Soto</v>
      </c>
      <c r="AX14" s="140" t="str">
        <f t="shared" si="8"/>
        <v>Provida</v>
      </c>
      <c r="AY14" s="140">
        <f t="shared" si="9"/>
        <v>203450.67239999998</v>
      </c>
      <c r="AZ14" s="134" t="str">
        <f t="shared" si="10"/>
        <v>FONASA</v>
      </c>
      <c r="BA14" s="247">
        <f t="shared" si="13"/>
        <v>80457.343000000008</v>
      </c>
      <c r="BB14" s="247">
        <f t="shared" si="14"/>
        <v>6860.7036666666663</v>
      </c>
      <c r="BC14" s="247">
        <v>0</v>
      </c>
      <c r="BD14" s="247">
        <v>0</v>
      </c>
      <c r="BE14" s="247">
        <v>0</v>
      </c>
      <c r="BF14" s="251">
        <f t="shared" si="11"/>
        <v>0</v>
      </c>
      <c r="BG14" s="140">
        <f t="shared" si="12"/>
        <v>11600.826199999998</v>
      </c>
      <c r="BH14" s="134"/>
      <c r="BI14" s="134"/>
      <c r="BJ14" s="134"/>
      <c r="BK14" s="134"/>
      <c r="BL14" s="134"/>
    </row>
    <row r="15" spans="1:64" hidden="1">
      <c r="A15" s="134"/>
      <c r="B15" s="134"/>
      <c r="C15" s="176" t="s">
        <v>157</v>
      </c>
      <c r="D15" s="153"/>
      <c r="E15" s="155" t="s">
        <v>158</v>
      </c>
      <c r="F15" s="155" t="s">
        <v>159</v>
      </c>
      <c r="G15" s="155"/>
      <c r="H15" s="155"/>
      <c r="I15" s="155" t="s">
        <v>202</v>
      </c>
      <c r="J15" s="153" t="s">
        <v>204</v>
      </c>
      <c r="K15" s="153"/>
      <c r="L15" s="153"/>
      <c r="M15" s="153"/>
      <c r="N15" s="153"/>
      <c r="O15" s="159"/>
      <c r="P15" s="157">
        <f>+N15+O15-Q15</f>
        <v>0</v>
      </c>
      <c r="Q15" s="198"/>
      <c r="R15" s="168">
        <v>380000</v>
      </c>
      <c r="S15" s="135" t="s">
        <v>203</v>
      </c>
      <c r="T15" s="158" t="s">
        <v>203</v>
      </c>
      <c r="U15" s="135" t="s">
        <v>203</v>
      </c>
      <c r="V15" s="135" t="s">
        <v>203</v>
      </c>
      <c r="W15" s="135">
        <f>'Liquidacion Santana JN Francois'!C9</f>
        <v>95000</v>
      </c>
      <c r="X15" s="135"/>
      <c r="Y15" s="171">
        <f t="shared" si="1"/>
        <v>475000</v>
      </c>
      <c r="Z15" s="188">
        <v>30000</v>
      </c>
      <c r="AA15" s="135">
        <v>30000</v>
      </c>
      <c r="AB15" s="135">
        <v>0</v>
      </c>
      <c r="AC15" s="135">
        <v>0</v>
      </c>
      <c r="AD15" s="164">
        <f t="shared" si="2"/>
        <v>60000</v>
      </c>
      <c r="AE15" s="233" t="str">
        <f>'Liquidacion Santana JN Francois'!C6</f>
        <v>PlanVital</v>
      </c>
      <c r="AF15" s="135">
        <f>'Liquidacion Santana JN Francois'!E8</f>
        <v>53010</v>
      </c>
      <c r="AG15" s="226" t="str">
        <f>'Liquidacion Santana JN Francois'!D4</f>
        <v>FONASA</v>
      </c>
      <c r="AH15" s="135">
        <f>'Liquidacion Santana JN Francois'!E9</f>
        <v>33250</v>
      </c>
      <c r="AI15" s="135">
        <f>'Liquidacion Santana JN Francois'!E11</f>
        <v>0</v>
      </c>
      <c r="AJ15" s="135">
        <f>'Liquidacion Santana JN Francois'!E12</f>
        <v>2850</v>
      </c>
      <c r="AK15" s="164">
        <f t="shared" si="3"/>
        <v>89110</v>
      </c>
      <c r="AL15" s="203"/>
      <c r="AM15" s="155"/>
      <c r="AN15" s="155"/>
      <c r="AO15" s="155"/>
      <c r="AP15" s="177">
        <f t="shared" si="4"/>
        <v>0</v>
      </c>
      <c r="AQ15" s="215">
        <f t="shared" si="5"/>
        <v>445890</v>
      </c>
      <c r="AR15" s="168">
        <f>'Liquidacion Santana JN Francois'!D32</f>
        <v>11400</v>
      </c>
      <c r="AS15" s="135">
        <f>'Liquidacion Santana JN Francois'!D33</f>
        <v>4417.5</v>
      </c>
      <c r="AT15" s="135">
        <f>'Liquidacion Santana JN Francois'!D34</f>
        <v>8835</v>
      </c>
      <c r="AU15" s="164">
        <f t="shared" si="6"/>
        <v>24652.5</v>
      </c>
      <c r="AV15" s="220">
        <f>'Liquidacion Santana JN Francois'!D35</f>
        <v>559652.5</v>
      </c>
      <c r="AW15" s="248" t="str">
        <f t="shared" si="7"/>
        <v>Santana JR Francois</v>
      </c>
      <c r="AX15" s="140" t="str">
        <f t="shared" si="8"/>
        <v>PlanVital</v>
      </c>
      <c r="AY15" s="140">
        <f t="shared" si="9"/>
        <v>76095</v>
      </c>
      <c r="AZ15" s="134" t="str">
        <f t="shared" si="10"/>
        <v>FONASA</v>
      </c>
      <c r="BA15" s="247">
        <f t="shared" si="13"/>
        <v>30637.5</v>
      </c>
      <c r="BB15" s="247">
        <f t="shared" si="14"/>
        <v>2612.5</v>
      </c>
      <c r="BC15" s="247">
        <v>0</v>
      </c>
      <c r="BD15" s="247">
        <v>0</v>
      </c>
      <c r="BE15" s="247">
        <v>0</v>
      </c>
      <c r="BF15" s="251">
        <f t="shared" si="11"/>
        <v>0</v>
      </c>
      <c r="BG15" s="140">
        <f t="shared" si="12"/>
        <v>4417.5</v>
      </c>
      <c r="BH15" s="134"/>
      <c r="BI15" s="134"/>
      <c r="BJ15" s="134"/>
      <c r="BK15" s="134"/>
      <c r="BL15" s="134"/>
    </row>
    <row r="16" spans="1:64" hidden="1">
      <c r="A16" s="134"/>
      <c r="B16" s="134"/>
      <c r="C16" s="176" t="s">
        <v>161</v>
      </c>
      <c r="D16" s="153"/>
      <c r="E16" s="155" t="s">
        <v>162</v>
      </c>
      <c r="F16" s="153" t="s">
        <v>163</v>
      </c>
      <c r="G16" s="153"/>
      <c r="H16" s="153"/>
      <c r="I16" s="155" t="s">
        <v>205</v>
      </c>
      <c r="J16" s="153"/>
      <c r="K16" s="153">
        <v>1</v>
      </c>
      <c r="L16" s="153"/>
      <c r="M16" s="153"/>
      <c r="N16" s="153"/>
      <c r="O16" s="159"/>
      <c r="P16" s="157">
        <f>+N16+O16-Q16</f>
        <v>0</v>
      </c>
      <c r="Q16" s="160"/>
      <c r="R16" s="169">
        <v>380000</v>
      </c>
      <c r="S16" s="158" t="s">
        <v>203</v>
      </c>
      <c r="T16" s="158">
        <v>260168</v>
      </c>
      <c r="U16" s="158">
        <v>55100</v>
      </c>
      <c r="V16" s="158" t="s">
        <v>203</v>
      </c>
      <c r="W16" s="158">
        <f>'Liquidacion Freddy Perez'!C9</f>
        <v>108775</v>
      </c>
      <c r="X16" s="158"/>
      <c r="Y16" s="171">
        <f t="shared" si="1"/>
        <v>804043</v>
      </c>
      <c r="Z16" s="189">
        <v>50000</v>
      </c>
      <c r="AA16" s="158">
        <v>40000</v>
      </c>
      <c r="AB16" s="135">
        <v>0</v>
      </c>
      <c r="AC16" s="158">
        <v>0</v>
      </c>
      <c r="AD16" s="164">
        <f t="shared" si="2"/>
        <v>90000</v>
      </c>
      <c r="AE16" s="234" t="str">
        <f>'Liquidacion Freddy Perez'!C6</f>
        <v>PlanVital</v>
      </c>
      <c r="AF16" s="135">
        <f>'Liquidacion Freddy Perez'!E8</f>
        <v>60696</v>
      </c>
      <c r="AG16" s="227" t="str">
        <f>'Liquidacion Freddy Perez'!D4</f>
        <v>FONASA</v>
      </c>
      <c r="AH16" s="135">
        <f>'Liquidacion Freddy Perez'!E9</f>
        <v>38071</v>
      </c>
      <c r="AI16" s="135">
        <f>'Liquidacion Freddy Perez'!E11</f>
        <v>0</v>
      </c>
      <c r="AJ16" s="135">
        <f>'Liquidacion Freddy Perez'!E12</f>
        <v>3263</v>
      </c>
      <c r="AK16" s="164">
        <f t="shared" si="3"/>
        <v>102030</v>
      </c>
      <c r="AL16" s="204"/>
      <c r="AM16" s="153"/>
      <c r="AN16" s="153"/>
      <c r="AO16" s="153"/>
      <c r="AP16" s="177">
        <f t="shared" si="4"/>
        <v>0</v>
      </c>
      <c r="AQ16" s="215">
        <f t="shared" si="5"/>
        <v>792013</v>
      </c>
      <c r="AR16" s="168">
        <f>'Liquidacion Freddy Perez'!D32</f>
        <v>13053</v>
      </c>
      <c r="AS16" s="135">
        <f>'Liquidacion Freddy Perez'!D33</f>
        <v>5058.0374999999995</v>
      </c>
      <c r="AT16" s="135">
        <f>'Liquidacion Freddy Perez'!D34</f>
        <v>10116.074999999999</v>
      </c>
      <c r="AU16" s="164">
        <f t="shared" si="6"/>
        <v>28227.112499999996</v>
      </c>
      <c r="AV16" s="220">
        <f>'Liquidacion Freddy Perez'!D35</f>
        <v>662102.11249999993</v>
      </c>
      <c r="AW16" s="248" t="str">
        <f t="shared" si="7"/>
        <v>Freddy Perez</v>
      </c>
      <c r="AX16" s="140" t="str">
        <f t="shared" si="8"/>
        <v>PlanVital</v>
      </c>
      <c r="AY16" s="140">
        <f t="shared" si="9"/>
        <v>87128.074999999997</v>
      </c>
      <c r="AZ16" s="134" t="str">
        <f t="shared" si="10"/>
        <v>FONASA</v>
      </c>
      <c r="BA16" s="247">
        <f t="shared" si="13"/>
        <v>51860.773500000003</v>
      </c>
      <c r="BB16" s="247">
        <f t="shared" si="14"/>
        <v>4422.2365</v>
      </c>
      <c r="BC16" s="247">
        <v>0</v>
      </c>
      <c r="BD16" s="247">
        <v>0</v>
      </c>
      <c r="BE16" s="247">
        <v>0</v>
      </c>
      <c r="BF16" s="251">
        <f t="shared" si="11"/>
        <v>0</v>
      </c>
      <c r="BG16" s="140">
        <f t="shared" si="12"/>
        <v>5058.0374999999995</v>
      </c>
      <c r="BH16" s="134"/>
      <c r="BI16" s="134"/>
      <c r="BJ16" s="134"/>
      <c r="BK16" s="134"/>
      <c r="BL16" s="134"/>
    </row>
    <row r="17" spans="3:60" s="134" customFormat="1" hidden="1">
      <c r="C17" s="176" t="s">
        <v>207</v>
      </c>
      <c r="D17" s="153"/>
      <c r="E17" s="155" t="s">
        <v>166</v>
      </c>
      <c r="F17" s="153" t="s">
        <v>167</v>
      </c>
      <c r="G17" s="153"/>
      <c r="H17" s="153"/>
      <c r="I17" s="155" t="s">
        <v>202</v>
      </c>
      <c r="J17" s="153" t="s">
        <v>204</v>
      </c>
      <c r="K17" s="153"/>
      <c r="L17" s="153"/>
      <c r="M17" s="153"/>
      <c r="N17" s="153"/>
      <c r="O17" s="153"/>
      <c r="P17" s="153"/>
      <c r="Q17" s="160"/>
      <c r="R17" s="169">
        <v>443187</v>
      </c>
      <c r="S17" s="158" t="s">
        <v>203</v>
      </c>
      <c r="T17" s="158" t="s">
        <v>203</v>
      </c>
      <c r="U17" s="158">
        <v>52500</v>
      </c>
      <c r="V17" s="158" t="s">
        <v>203</v>
      </c>
      <c r="W17" s="158">
        <f>'Liquidacion Osiris Junadette'!C9</f>
        <v>123921.75</v>
      </c>
      <c r="X17" s="158"/>
      <c r="Y17" s="171">
        <f t="shared" si="1"/>
        <v>619608.75</v>
      </c>
      <c r="Z17" s="189">
        <v>50000</v>
      </c>
      <c r="AA17" s="158">
        <v>40000</v>
      </c>
      <c r="AB17" s="135">
        <v>0</v>
      </c>
      <c r="AC17" s="158">
        <v>0</v>
      </c>
      <c r="AD17" s="164">
        <f t="shared" si="2"/>
        <v>90000</v>
      </c>
      <c r="AE17" s="234" t="str">
        <f>'Liquidacion Osiris Junadette'!C6</f>
        <v>UNO</v>
      </c>
      <c r="AF17" s="135">
        <f>'Liquidacion Osiris Junadette'!E8</f>
        <v>66236</v>
      </c>
      <c r="AG17" s="227" t="str">
        <f>'Liquidacion Osiris Junadette'!D4</f>
        <v>FONASA</v>
      </c>
      <c r="AH17" s="135">
        <f>'Liquidacion Osiris Junadette'!E9</f>
        <v>43373</v>
      </c>
      <c r="AI17" s="135">
        <f>'Liquidacion Osiris Junadette'!E11</f>
        <v>0</v>
      </c>
      <c r="AJ17" s="135">
        <f>'Liquidacion Osiris Junadette'!E12</f>
        <v>3718</v>
      </c>
      <c r="AK17" s="164">
        <f t="shared" si="3"/>
        <v>113327</v>
      </c>
      <c r="AL17" s="204"/>
      <c r="AM17" s="153"/>
      <c r="AN17" s="153"/>
      <c r="AO17" s="153"/>
      <c r="AP17" s="177">
        <f t="shared" si="4"/>
        <v>0</v>
      </c>
      <c r="AQ17" s="215">
        <f t="shared" si="5"/>
        <v>596281.75</v>
      </c>
      <c r="AR17" s="168">
        <f>'Liquidacion Osiris Junadette'!D32</f>
        <v>14870.61</v>
      </c>
      <c r="AS17" s="135">
        <f>'Liquidacion Osiris Junadette'!D33</f>
        <v>5762.3613749999995</v>
      </c>
      <c r="AT17" s="135">
        <f>'Liquidacion Osiris Junadette'!D34</f>
        <v>11524.722749999999</v>
      </c>
      <c r="AU17" s="164">
        <f t="shared" si="6"/>
        <v>32157.694125000002</v>
      </c>
      <c r="AV17" s="220">
        <f>'Liquidacion Osiris Junadette'!D35</f>
        <v>741766.44412499992</v>
      </c>
      <c r="AW17" s="248" t="str">
        <f t="shared" si="7"/>
        <v>Osiris</v>
      </c>
      <c r="AX17" s="140" t="str">
        <f t="shared" si="8"/>
        <v>UNO</v>
      </c>
      <c r="AY17" s="140">
        <f t="shared" si="9"/>
        <v>96349.332750000001</v>
      </c>
      <c r="AZ17" s="134" t="str">
        <f t="shared" si="10"/>
        <v>FONASA</v>
      </c>
      <c r="BA17" s="247">
        <f t="shared" si="13"/>
        <v>39964.764374999999</v>
      </c>
      <c r="BB17" s="247">
        <f t="shared" si="14"/>
        <v>3407.848125</v>
      </c>
      <c r="BC17" s="247">
        <v>0</v>
      </c>
      <c r="BD17" s="247">
        <v>0</v>
      </c>
      <c r="BE17" s="247">
        <v>0</v>
      </c>
      <c r="BF17" s="251">
        <f t="shared" si="11"/>
        <v>0</v>
      </c>
      <c r="BG17" s="140">
        <f t="shared" si="12"/>
        <v>5762.3613749999995</v>
      </c>
    </row>
    <row r="18" spans="3:60" s="132" customFormat="1" ht="15.75" thickBot="1">
      <c r="C18" s="191" t="s">
        <v>208</v>
      </c>
      <c r="D18" s="192"/>
      <c r="E18" s="193" t="str">
        <f>'Liquidacion Veronica Lopez'!C38</f>
        <v>8.907.281-6</v>
      </c>
      <c r="F18" s="194" t="str">
        <f>'Liquidacion Veronica Lopez'!C39</f>
        <v>Aseo y Adm. Bodega</v>
      </c>
      <c r="G18" s="192"/>
      <c r="H18" s="192"/>
      <c r="I18" s="192"/>
      <c r="J18" s="192" t="s">
        <v>204</v>
      </c>
      <c r="K18" s="192"/>
      <c r="L18" s="195"/>
      <c r="M18" s="195"/>
      <c r="N18" s="195"/>
      <c r="O18" s="195"/>
      <c r="P18" s="195"/>
      <c r="Q18" s="199"/>
      <c r="R18" s="201">
        <v>567000</v>
      </c>
      <c r="S18" s="170" t="s">
        <v>203</v>
      </c>
      <c r="T18" s="170" t="s">
        <v>203</v>
      </c>
      <c r="U18" s="170" t="s">
        <v>203</v>
      </c>
      <c r="V18" s="170" t="s">
        <v>203</v>
      </c>
      <c r="W18" s="202">
        <f>'Liquidacion Veronica Lopez'!C9</f>
        <v>150416.66666666666</v>
      </c>
      <c r="X18" s="202"/>
      <c r="Y18" s="172">
        <f t="shared" si="1"/>
        <v>717416.66666666663</v>
      </c>
      <c r="Z18" s="206">
        <v>50000</v>
      </c>
      <c r="AA18" s="202">
        <v>40000</v>
      </c>
      <c r="AB18" s="202"/>
      <c r="AC18" s="202"/>
      <c r="AD18" s="165">
        <f t="shared" si="2"/>
        <v>90000</v>
      </c>
      <c r="AE18" s="235" t="s">
        <v>154</v>
      </c>
      <c r="AF18" s="202">
        <f>'Liquidacion Veronica Lopez'!E8</f>
        <v>156684</v>
      </c>
      <c r="AG18" s="228" t="str">
        <f>'Liquidacion Veronica Lopez'!D9</f>
        <v>FONASA</v>
      </c>
      <c r="AH18" s="202">
        <f>'Liquidacion Veronica Lopez'!E9</f>
        <v>50219</v>
      </c>
      <c r="AI18" s="202">
        <f>'Liquidacion Veronica Lopez'!E11</f>
        <v>0</v>
      </c>
      <c r="AJ18" s="202">
        <f>'Liquidacion Veronica Lopez'!E12</f>
        <v>0</v>
      </c>
      <c r="AK18" s="164">
        <f t="shared" si="3"/>
        <v>206903</v>
      </c>
      <c r="AL18" s="206"/>
      <c r="AM18" s="195"/>
      <c r="AN18" s="195"/>
      <c r="AO18" s="195"/>
      <c r="AP18" s="213"/>
      <c r="AQ18" s="216">
        <f t="shared" si="5"/>
        <v>600513.66666666663</v>
      </c>
      <c r="AR18" s="218">
        <f>'Liquidacion Veronica Lopez'!D32</f>
        <v>21522.499999999996</v>
      </c>
      <c r="AS18" s="195">
        <f>'Liquidacion Veronica Lopez'!D33</f>
        <v>6671.9749999999995</v>
      </c>
      <c r="AT18" s="135">
        <f>'Liquidacion Veronica Lopez'!D34</f>
        <v>0</v>
      </c>
      <c r="AU18" s="164">
        <f t="shared" si="6"/>
        <v>28194.474999999995</v>
      </c>
      <c r="AV18" s="221">
        <f>'Liquidacion Veronica Lopez'!D35</f>
        <v>835611.1416666666</v>
      </c>
      <c r="AW18" s="248" t="str">
        <f t="shared" si="7"/>
        <v>Veronica Lopez</v>
      </c>
      <c r="AX18" s="140" t="str">
        <f t="shared" si="8"/>
        <v>Provida</v>
      </c>
      <c r="AY18" s="140">
        <f>AT18+AJ18+AR18</f>
        <v>21522.499999999996</v>
      </c>
      <c r="AZ18" s="134" t="str">
        <f t="shared" si="10"/>
        <v>FONASA</v>
      </c>
      <c r="BA18" s="247">
        <f t="shared" si="13"/>
        <v>46273.375</v>
      </c>
      <c r="BB18" s="247">
        <f t="shared" si="14"/>
        <v>3945.7916666666661</v>
      </c>
      <c r="BC18" s="247">
        <f>AF18</f>
        <v>156684</v>
      </c>
      <c r="BD18" s="247">
        <v>0</v>
      </c>
      <c r="BE18" s="247">
        <v>0</v>
      </c>
      <c r="BF18" s="251">
        <f t="shared" si="11"/>
        <v>0</v>
      </c>
      <c r="BG18" s="140">
        <f t="shared" si="12"/>
        <v>6671.9749999999995</v>
      </c>
    </row>
    <row r="19" spans="3:60" s="132" customFormat="1" ht="15.75" hidden="1" thickBot="1">
      <c r="C19" s="182"/>
      <c r="D19" s="182"/>
      <c r="E19" s="190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200"/>
      <c r="R19" s="207">
        <f>R8+R9+R10+R11+R12+R13+R14+R15+R16+R17+R18</f>
        <v>6306099</v>
      </c>
      <c r="S19" s="208">
        <f>S11+S14</f>
        <v>1435714</v>
      </c>
      <c r="T19" s="208">
        <f>T9+T12+T13+T16</f>
        <v>1125471</v>
      </c>
      <c r="U19" s="208">
        <f>U11+U12+U14+U16+U17</f>
        <v>278900</v>
      </c>
      <c r="V19" s="208">
        <f>SUM(V8:V18)</f>
        <v>0</v>
      </c>
      <c r="W19" s="208">
        <f>W8+W9+W10+W11+W12+W13+W14+W15+W16+W17+W18</f>
        <v>1370886.2499999998</v>
      </c>
      <c r="X19" s="208">
        <f>SUM(X8:X18)</f>
        <v>6122.2222222222481</v>
      </c>
      <c r="Y19" s="209">
        <f>Y8+Y9+Y10+Y11+Y12+Y13+Y14+Y15+Y16+Y17+Y18</f>
        <v>10510948.027777778</v>
      </c>
      <c r="Z19" s="210">
        <f>Z8+Z9+Z11+Z12+Z14+Z15+Z16+Z17+Z18</f>
        <v>439500</v>
      </c>
      <c r="AA19" s="208">
        <f>AA8+AA9+AA11+AA12+AA13+AA14+AA15+AA16+AA17+AA18</f>
        <v>412633</v>
      </c>
      <c r="AB19" s="208">
        <f>SUM(AB8:AB18)</f>
        <v>0</v>
      </c>
      <c r="AC19" s="208">
        <f>SUM(AC8:AC18)</f>
        <v>0</v>
      </c>
      <c r="AD19" s="209">
        <f>AD8+AD9+AD10+AD11+AD12+AD13+AD14+AD15+AD16+AD17+AD18</f>
        <v>852133</v>
      </c>
      <c r="AE19" s="236">
        <f>SUM(AE8:AE18)</f>
        <v>0</v>
      </c>
      <c r="AF19" s="208">
        <f>AF8+AF9+AF10+AF11+AF12+AF13+AF14+AF15+AF16+AF17+AF18</f>
        <v>1225003</v>
      </c>
      <c r="AG19" s="229">
        <f>SUM(AG8:AG18)</f>
        <v>0</v>
      </c>
      <c r="AH19" s="208">
        <f>AH8+AH9+AH10+AH11+AH12+AH13+AH14+AH15+AH16+AH17+AH18</f>
        <v>878114</v>
      </c>
      <c r="AI19" s="208">
        <f>AI8+AI9+AI10+AI11+AI12+AI13+AI14+AI15+AI16+AI17+AI18</f>
        <v>43689</v>
      </c>
      <c r="AJ19" s="208">
        <f>AJ8+AJ9+AJ10+AJ11+AJ12+AJ13+AJ14+AJ15+AJ16+AJ17+AJ18</f>
        <v>41522</v>
      </c>
      <c r="AK19" s="208">
        <f>AK8+AK9+AK10+AK11+AK12+AK13+AK14+AK15+AK16+AK17+AK18</f>
        <v>2188328</v>
      </c>
      <c r="AL19" s="208">
        <f>SUM(AL8:AL18)</f>
        <v>0</v>
      </c>
      <c r="AM19" s="208">
        <f>AM8+AM9+AM10+AM11+AM12+AM13+AM14+AM15+AM16+AM17+AM18</f>
        <v>100000</v>
      </c>
      <c r="AN19" s="208"/>
      <c r="AO19" s="208">
        <f>SUM(AO8:AO18)</f>
        <v>0</v>
      </c>
      <c r="AP19" s="209">
        <f t="shared" ref="AP19:AV19" si="16">AP8+AP9+AP10+AP11+AP12+AP13+AP14+AP15+AP16+AP17+AP18</f>
        <v>100000</v>
      </c>
      <c r="AQ19" s="217">
        <f t="shared" si="16"/>
        <v>9074753.027777778</v>
      </c>
      <c r="AR19" s="207">
        <f t="shared" si="16"/>
        <v>266003.42466666666</v>
      </c>
      <c r="AS19" s="208">
        <f t="shared" si="16"/>
        <v>95332.254258333327</v>
      </c>
      <c r="AT19" s="208">
        <f t="shared" si="16"/>
        <v>177320.55851666664</v>
      </c>
      <c r="AU19" s="209">
        <f t="shared" si="16"/>
        <v>538656.23744166666</v>
      </c>
      <c r="AV19" s="221">
        <f t="shared" si="16"/>
        <v>11641569.265219443</v>
      </c>
      <c r="AW19" s="249"/>
      <c r="AX19" s="137"/>
      <c r="AY19" s="137">
        <f>SUM(AY8:AY18)</f>
        <v>1553164.9831833332</v>
      </c>
      <c r="BA19" s="247">
        <f>SUM(BA8:BA18)</f>
        <v>506929.83979166672</v>
      </c>
      <c r="BB19" s="247">
        <f>SUM(BB8:BB18)</f>
        <v>43226.575486111105</v>
      </c>
      <c r="BC19" s="247">
        <f>SUM(BC8:BC18)</f>
        <v>156684</v>
      </c>
      <c r="BD19" s="247">
        <f>SUM(BD7:BD18)</f>
        <v>185610.07</v>
      </c>
      <c r="BE19" s="247">
        <f>SUM(BE8:BE18)</f>
        <v>160560</v>
      </c>
      <c r="BF19" s="250">
        <f>SUM(BF8:BF18)</f>
        <v>346170</v>
      </c>
      <c r="BG19" s="137">
        <f>SUM(BG8:BG18)</f>
        <v>95332.254258333327</v>
      </c>
      <c r="BH19" s="137">
        <f>SUM(AY19:BG19)</f>
        <v>3047677.722719444</v>
      </c>
    </row>
    <row r="20" spans="3:60" s="132" customFormat="1">
      <c r="E20" s="138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230"/>
      <c r="AF20" s="137"/>
      <c r="AG20" s="230"/>
      <c r="AH20" s="137"/>
      <c r="AI20" s="137"/>
      <c r="AJ20" s="137"/>
      <c r="AK20" s="137"/>
      <c r="AL20" s="137"/>
    </row>
    <row r="21" spans="3:60" s="132" customFormat="1">
      <c r="C21" s="132" t="s">
        <v>209</v>
      </c>
      <c r="E21" s="138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230"/>
      <c r="AF21" s="137"/>
      <c r="AG21" s="230"/>
      <c r="AH21" s="137"/>
      <c r="AI21" s="137"/>
      <c r="AJ21" s="137"/>
      <c r="AK21" s="137"/>
      <c r="AL21" s="137"/>
    </row>
    <row r="22" spans="3:60" s="132" customFormat="1">
      <c r="C22" s="186" t="s">
        <v>210</v>
      </c>
      <c r="D22" s="238"/>
      <c r="E22" s="187" t="s">
        <v>211</v>
      </c>
      <c r="F22" s="238" t="s">
        <v>210</v>
      </c>
      <c r="G22" s="238"/>
      <c r="H22" s="187" t="s">
        <v>211</v>
      </c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230"/>
      <c r="AF22" s="137"/>
      <c r="AG22" s="230"/>
      <c r="AH22" s="137"/>
      <c r="AI22" s="137"/>
      <c r="AJ22" s="137"/>
      <c r="AK22" s="137"/>
      <c r="AL22" s="137"/>
    </row>
    <row r="23" spans="3:60" s="132" customFormat="1">
      <c r="C23" s="240" t="s">
        <v>212</v>
      </c>
      <c r="E23" s="237"/>
      <c r="F23" s="239">
        <f>AU19</f>
        <v>538656.23744166666</v>
      </c>
      <c r="H23" s="2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230"/>
      <c r="AF23" s="137"/>
      <c r="AG23" s="230"/>
      <c r="AH23" s="137"/>
      <c r="AI23" s="137"/>
      <c r="AJ23" s="137"/>
      <c r="AK23" s="137"/>
      <c r="AL23" s="137"/>
    </row>
    <row r="24" spans="3:60" s="132" customFormat="1">
      <c r="C24" s="240" t="s">
        <v>213</v>
      </c>
      <c r="E24" s="237"/>
      <c r="F24" s="239">
        <f>Y19+AD19-W19-AP19</f>
        <v>9892194.777777778</v>
      </c>
      <c r="H24" s="2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230"/>
      <c r="AF24" s="137"/>
      <c r="AG24" s="230"/>
      <c r="AH24" s="137"/>
      <c r="AI24" s="137"/>
      <c r="AJ24" s="137"/>
      <c r="AK24" s="137"/>
      <c r="AL24" s="137"/>
    </row>
    <row r="25" spans="3:60" s="132" customFormat="1">
      <c r="C25" s="240" t="s">
        <v>189</v>
      </c>
      <c r="E25" s="237"/>
      <c r="F25" s="239">
        <f>W19</f>
        <v>1370886.2499999998</v>
      </c>
      <c r="H25" s="2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230"/>
      <c r="AF25" s="137"/>
      <c r="AG25" s="230"/>
      <c r="AH25" s="137"/>
      <c r="AI25" s="137"/>
      <c r="AJ25" s="137"/>
      <c r="AK25" s="137"/>
      <c r="AL25" s="137"/>
    </row>
    <row r="26" spans="3:60" s="132" customFormat="1">
      <c r="C26" s="240"/>
      <c r="E26" s="242" t="s">
        <v>214</v>
      </c>
      <c r="F26" s="237"/>
      <c r="H26" s="180">
        <f>AQ19</f>
        <v>9074753.027777778</v>
      </c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230"/>
      <c r="AF26" s="137"/>
      <c r="AG26" s="230"/>
      <c r="AH26" s="137"/>
      <c r="AI26" s="137"/>
      <c r="AJ26" s="137"/>
      <c r="AK26" s="137"/>
      <c r="AL26" s="137"/>
    </row>
    <row r="27" spans="3:60" s="132" customFormat="1">
      <c r="C27" s="240"/>
      <c r="E27" s="242" t="s">
        <v>215</v>
      </c>
      <c r="F27" s="237"/>
      <c r="H27" s="180">
        <f>AH19+AJ19+AF19+AR19+AS19+AT19</f>
        <v>2683295.2374416664</v>
      </c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230"/>
      <c r="AF27" s="137"/>
      <c r="AG27" s="230"/>
      <c r="AH27" s="137"/>
      <c r="AI27" s="137"/>
      <c r="AJ27" s="137"/>
      <c r="AK27" s="137"/>
      <c r="AL27" s="137"/>
    </row>
    <row r="28" spans="3:60" s="132" customFormat="1">
      <c r="C28" s="182"/>
      <c r="D28" s="181"/>
      <c r="E28" s="243" t="s">
        <v>19</v>
      </c>
      <c r="F28" s="241"/>
      <c r="G28" s="181"/>
      <c r="H28" s="211">
        <f>AI19</f>
        <v>43689</v>
      </c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230"/>
      <c r="AF28" s="137"/>
      <c r="AG28" s="230"/>
      <c r="AH28" s="137"/>
      <c r="AI28" s="137"/>
      <c r="AJ28" s="137"/>
      <c r="AK28" s="137"/>
      <c r="AL28" s="137"/>
    </row>
    <row r="29" spans="3:60" s="132" customFormat="1">
      <c r="E29" s="138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230"/>
      <c r="AF29" s="137"/>
      <c r="AG29" s="230"/>
      <c r="AH29" s="137"/>
      <c r="AI29" s="137"/>
      <c r="AJ29" s="137"/>
      <c r="AK29" s="137"/>
      <c r="AL29" s="137"/>
    </row>
    <row r="30" spans="3:60" s="132" customFormat="1">
      <c r="F30" s="137">
        <f>SUM(F23:F29)</f>
        <v>11801737.265219444</v>
      </c>
      <c r="H30" s="137">
        <f>SUM(H26:H29)</f>
        <v>11801737.265219444</v>
      </c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230"/>
      <c r="AF30" s="137"/>
      <c r="AG30" s="230"/>
      <c r="AH30" s="137"/>
      <c r="AI30" s="137"/>
      <c r="AJ30" s="137"/>
      <c r="AK30" s="137"/>
      <c r="AL30" s="137"/>
    </row>
    <row r="31" spans="3:60" s="132" customFormat="1">
      <c r="E31" s="138"/>
      <c r="F31" s="179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230"/>
      <c r="AF31" s="137"/>
      <c r="AG31" s="230"/>
      <c r="AH31" s="137"/>
      <c r="AI31" s="137"/>
      <c r="AJ31" s="137"/>
      <c r="AK31" s="137"/>
      <c r="AL31" s="137"/>
    </row>
    <row r="32" spans="3:60" s="132" customFormat="1">
      <c r="E32" s="138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230"/>
      <c r="AF32" s="137"/>
      <c r="AG32" s="230"/>
      <c r="AH32" s="137"/>
      <c r="AI32" s="137"/>
      <c r="AJ32" s="137"/>
      <c r="AK32" s="137"/>
      <c r="AL32" s="137"/>
    </row>
    <row r="33" spans="5:38" s="132" customFormat="1">
      <c r="E33" s="138"/>
      <c r="F33" s="137">
        <f>F30-H30</f>
        <v>0</v>
      </c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230"/>
      <c r="AF33" s="137"/>
      <c r="AG33" s="230"/>
      <c r="AH33" s="137"/>
      <c r="AI33" s="137"/>
      <c r="AJ33" s="137"/>
      <c r="AK33" s="137"/>
      <c r="AL33" s="137"/>
    </row>
    <row r="34" spans="5:38" s="132" customFormat="1">
      <c r="E34" s="138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230"/>
      <c r="AF34" s="137"/>
      <c r="AG34" s="230"/>
      <c r="AH34" s="137"/>
      <c r="AI34" s="137"/>
      <c r="AJ34" s="137"/>
      <c r="AK34" s="137"/>
      <c r="AL34" s="137"/>
    </row>
    <row r="35" spans="5:38" s="132" customFormat="1">
      <c r="E35" s="138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230"/>
      <c r="AF35" s="137"/>
      <c r="AG35" s="230"/>
      <c r="AH35" s="137"/>
      <c r="AI35" s="137"/>
      <c r="AJ35" s="137"/>
      <c r="AK35" s="137"/>
      <c r="AL35" s="137"/>
    </row>
    <row r="36" spans="5:38" s="132" customFormat="1">
      <c r="E36" s="138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230"/>
      <c r="AF36" s="137"/>
      <c r="AG36" s="230"/>
      <c r="AH36" s="137"/>
      <c r="AI36" s="137"/>
      <c r="AJ36" s="137"/>
      <c r="AK36" s="137"/>
      <c r="AL36" s="137"/>
    </row>
    <row r="37" spans="5:38" s="132" customFormat="1">
      <c r="E37" s="138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230"/>
      <c r="AF37" s="137"/>
      <c r="AG37" s="230"/>
      <c r="AH37" s="137"/>
      <c r="AI37" s="137"/>
      <c r="AJ37" s="137"/>
      <c r="AK37" s="137"/>
      <c r="AL37" s="137"/>
    </row>
    <row r="38" spans="5:38" s="132" customFormat="1">
      <c r="E38" s="138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230"/>
      <c r="AF38" s="137"/>
      <c r="AG38" s="230"/>
      <c r="AH38" s="137"/>
      <c r="AI38" s="137"/>
      <c r="AJ38" s="137"/>
      <c r="AK38" s="137"/>
      <c r="AL38" s="137"/>
    </row>
    <row r="39" spans="5:38" s="132" customFormat="1">
      <c r="E39" s="138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230"/>
      <c r="AF39" s="137"/>
      <c r="AG39" s="230"/>
      <c r="AH39" s="137"/>
      <c r="AI39" s="137"/>
      <c r="AJ39" s="137"/>
      <c r="AK39" s="137"/>
      <c r="AL39" s="137"/>
    </row>
    <row r="40" spans="5:38" s="132" customFormat="1">
      <c r="E40" s="138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230"/>
      <c r="AF40" s="137"/>
      <c r="AG40" s="230"/>
      <c r="AH40" s="137"/>
      <c r="AI40" s="137"/>
      <c r="AJ40" s="137"/>
      <c r="AK40" s="137"/>
      <c r="AL40" s="137"/>
    </row>
    <row r="41" spans="5:38" s="132" customFormat="1">
      <c r="E41" s="138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230"/>
      <c r="AF41" s="137"/>
      <c r="AG41" s="230"/>
      <c r="AH41" s="137"/>
      <c r="AI41" s="137"/>
      <c r="AJ41" s="137"/>
      <c r="AK41" s="137"/>
      <c r="AL41" s="137"/>
    </row>
    <row r="42" spans="5:38" s="132" customFormat="1">
      <c r="E42" s="138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230"/>
      <c r="AF42" s="137"/>
      <c r="AG42" s="230"/>
      <c r="AH42" s="137"/>
      <c r="AI42" s="137"/>
      <c r="AJ42" s="137"/>
      <c r="AK42" s="137"/>
      <c r="AL42" s="137"/>
    </row>
    <row r="43" spans="5:38" s="132" customFormat="1">
      <c r="E43" s="138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230"/>
      <c r="AF43" s="137"/>
      <c r="AG43" s="230"/>
      <c r="AH43" s="137"/>
      <c r="AI43" s="137"/>
      <c r="AJ43" s="137"/>
      <c r="AK43" s="137"/>
      <c r="AL43" s="137"/>
    </row>
    <row r="44" spans="5:38" s="132" customFormat="1">
      <c r="E44" s="138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230"/>
      <c r="AF44" s="137"/>
      <c r="AG44" s="230"/>
      <c r="AH44" s="137"/>
      <c r="AI44" s="137"/>
      <c r="AJ44" s="137"/>
      <c r="AK44" s="137"/>
      <c r="AL44" s="137"/>
    </row>
    <row r="45" spans="5:38" s="132" customFormat="1">
      <c r="E45" s="138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230"/>
      <c r="AF45" s="137"/>
      <c r="AG45" s="230"/>
      <c r="AH45" s="137"/>
      <c r="AI45" s="137"/>
      <c r="AJ45" s="137"/>
      <c r="AK45" s="137"/>
      <c r="AL45" s="137"/>
    </row>
    <row r="46" spans="5:38" s="132" customFormat="1">
      <c r="E46" s="138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230"/>
      <c r="AF46" s="137"/>
      <c r="AG46" s="230"/>
      <c r="AH46" s="137"/>
      <c r="AI46" s="137"/>
      <c r="AJ46" s="137"/>
      <c r="AK46" s="137"/>
      <c r="AL46" s="137"/>
    </row>
    <row r="47" spans="5:38" s="132" customFormat="1">
      <c r="E47" s="138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230"/>
      <c r="AF47" s="137"/>
      <c r="AG47" s="230"/>
      <c r="AH47" s="137"/>
      <c r="AI47" s="137"/>
      <c r="AJ47" s="137"/>
      <c r="AK47" s="137"/>
      <c r="AL47" s="137"/>
    </row>
    <row r="48" spans="5:38" s="132" customFormat="1">
      <c r="E48" s="138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230"/>
      <c r="AF48" s="137"/>
      <c r="AG48" s="230"/>
      <c r="AH48" s="137"/>
      <c r="AI48" s="137"/>
      <c r="AJ48" s="137"/>
      <c r="AK48" s="137"/>
      <c r="AL48" s="137"/>
    </row>
    <row r="49" spans="5:38" s="132" customFormat="1">
      <c r="E49" s="138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230"/>
      <c r="AF49" s="137"/>
      <c r="AG49" s="230"/>
      <c r="AH49" s="137"/>
      <c r="AI49" s="137"/>
      <c r="AJ49" s="137"/>
      <c r="AK49" s="137"/>
      <c r="AL49" s="137"/>
    </row>
    <row r="50" spans="5:38" s="132" customFormat="1">
      <c r="E50" s="138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230"/>
      <c r="AF50" s="137"/>
      <c r="AG50" s="230"/>
      <c r="AH50" s="137"/>
      <c r="AI50" s="137"/>
      <c r="AJ50" s="137"/>
      <c r="AK50" s="137"/>
      <c r="AL50" s="137"/>
    </row>
    <row r="51" spans="5:38" s="132" customFormat="1">
      <c r="E51" s="138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230"/>
      <c r="AF51" s="137"/>
      <c r="AG51" s="230"/>
      <c r="AH51" s="137"/>
      <c r="AI51" s="137"/>
      <c r="AJ51" s="137"/>
      <c r="AK51" s="137"/>
      <c r="AL51" s="137"/>
    </row>
    <row r="52" spans="5:38" s="132" customFormat="1">
      <c r="E52" s="138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230"/>
      <c r="AF52" s="137"/>
      <c r="AG52" s="230"/>
      <c r="AH52" s="137"/>
      <c r="AI52" s="137"/>
      <c r="AJ52" s="137"/>
      <c r="AK52" s="137"/>
      <c r="AL52" s="137"/>
    </row>
    <row r="53" spans="5:38" s="132" customFormat="1">
      <c r="E53" s="138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230"/>
      <c r="AF53" s="137"/>
      <c r="AG53" s="230"/>
      <c r="AH53" s="137"/>
      <c r="AI53" s="137"/>
      <c r="AJ53" s="137"/>
      <c r="AK53" s="137"/>
      <c r="AL53" s="137"/>
    </row>
    <row r="54" spans="5:38" s="132" customFormat="1">
      <c r="E54" s="138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230"/>
      <c r="AF54" s="137"/>
      <c r="AG54" s="230"/>
      <c r="AH54" s="137"/>
      <c r="AI54" s="137"/>
      <c r="AJ54" s="137"/>
      <c r="AK54" s="137"/>
      <c r="AL54" s="137"/>
    </row>
    <row r="55" spans="5:38" s="132" customFormat="1">
      <c r="E55" s="138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230"/>
      <c r="AF55" s="137"/>
      <c r="AG55" s="230"/>
      <c r="AH55" s="137"/>
      <c r="AI55" s="137"/>
      <c r="AJ55" s="137"/>
      <c r="AK55" s="137"/>
      <c r="AL55" s="137"/>
    </row>
    <row r="56" spans="5:38" s="132" customFormat="1">
      <c r="E56" s="138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230"/>
      <c r="AF56" s="137"/>
      <c r="AG56" s="230"/>
      <c r="AH56" s="137"/>
      <c r="AI56" s="137"/>
      <c r="AJ56" s="137"/>
      <c r="AK56" s="137"/>
      <c r="AL56" s="137"/>
    </row>
  </sheetData>
  <autoFilter ref="E7:BH19" xr:uid="{86AE1B7E-0691-4918-85BA-E7FD9B21973B}">
    <filterColumn colId="26">
      <filters>
        <filter val="Provid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workbookViewId="0">
      <selection activeCell="J10" sqref="J10"/>
    </sheetView>
  </sheetViews>
  <sheetFormatPr baseColWidth="10" defaultColWidth="11.42578125" defaultRowHeight="15"/>
  <cols>
    <col min="3" max="4" width="14.7109375" bestFit="1" customWidth="1"/>
    <col min="5" max="5" width="6.7109375" bestFit="1" customWidth="1"/>
    <col min="6" max="6" width="13.7109375" bestFit="1" customWidth="1"/>
    <col min="7" max="7" width="15" bestFit="1" customWidth="1"/>
  </cols>
  <sheetData>
    <row r="1" spans="1:15">
      <c r="A1" s="124" t="s">
        <v>78</v>
      </c>
      <c r="B1" s="124" t="s">
        <v>0</v>
      </c>
      <c r="C1">
        <v>2022</v>
      </c>
    </row>
    <row r="2" spans="1:15">
      <c r="B2" s="126" t="s">
        <v>21</v>
      </c>
      <c r="C2" s="127">
        <v>777019.5</v>
      </c>
      <c r="D2" s="128" t="s">
        <v>22</v>
      </c>
      <c r="E2" s="126" t="s">
        <v>21</v>
      </c>
      <c r="F2" s="128" t="s">
        <v>22</v>
      </c>
      <c r="K2" t="s">
        <v>79</v>
      </c>
      <c r="L2" s="123">
        <v>33417.26</v>
      </c>
      <c r="M2" s="105"/>
    </row>
    <row r="3" spans="1:15">
      <c r="B3" s="129"/>
      <c r="C3" s="127">
        <v>777019.51</v>
      </c>
      <c r="D3" s="127">
        <v>1726710</v>
      </c>
      <c r="E3" s="128">
        <v>0.04</v>
      </c>
      <c r="F3" s="127">
        <v>31080.78</v>
      </c>
      <c r="G3" s="130">
        <v>2.1999999999999999E-2</v>
      </c>
      <c r="H3" s="72"/>
    </row>
    <row r="4" spans="1:15" ht="15.75" thickBot="1">
      <c r="B4" s="129"/>
      <c r="C4" s="127">
        <v>1726710.01</v>
      </c>
      <c r="D4" s="127">
        <v>2877850</v>
      </c>
      <c r="E4" s="128">
        <v>0.08</v>
      </c>
      <c r="F4" s="127">
        <v>100149.18</v>
      </c>
      <c r="G4" s="130">
        <v>4.5199999999999997E-2</v>
      </c>
      <c r="H4" s="72"/>
    </row>
    <row r="5" spans="1:15" ht="15.75" thickBot="1">
      <c r="B5" s="129"/>
      <c r="C5" s="127">
        <v>2877850.01</v>
      </c>
      <c r="D5" s="127">
        <v>4028990</v>
      </c>
      <c r="E5" s="128">
        <v>0.13500000000000001</v>
      </c>
      <c r="F5" s="127">
        <v>258430.93</v>
      </c>
      <c r="G5" s="130">
        <v>7.0900000000000005E-2</v>
      </c>
      <c r="H5" s="72"/>
      <c r="J5" s="75"/>
      <c r="K5" s="76"/>
      <c r="L5" s="98"/>
      <c r="M5" s="77"/>
      <c r="N5" s="76"/>
      <c r="O5" s="77"/>
    </row>
    <row r="6" spans="1:15" ht="15.75" thickBot="1">
      <c r="B6" s="129"/>
      <c r="C6" s="127">
        <v>4028990.01</v>
      </c>
      <c r="D6" s="127">
        <v>5180130</v>
      </c>
      <c r="E6" s="128">
        <v>0.23</v>
      </c>
      <c r="F6" s="127">
        <v>641184.98</v>
      </c>
      <c r="G6" s="130">
        <v>0.1062</v>
      </c>
      <c r="H6" s="72"/>
      <c r="J6" s="75"/>
      <c r="K6" s="98"/>
      <c r="L6" s="98"/>
      <c r="M6" s="77"/>
      <c r="N6" s="98"/>
      <c r="O6" s="78"/>
    </row>
    <row r="7" spans="1:15" ht="15.75" thickBot="1">
      <c r="B7" s="129"/>
      <c r="C7" s="127">
        <v>5180130.01</v>
      </c>
      <c r="D7" s="127">
        <v>6906840</v>
      </c>
      <c r="E7" s="128">
        <v>0.30399999999999999</v>
      </c>
      <c r="F7" s="127">
        <v>1024514.6</v>
      </c>
      <c r="G7" s="130">
        <v>0.15570000000000001</v>
      </c>
      <c r="H7" s="72"/>
      <c r="J7" s="75"/>
      <c r="K7" s="98"/>
      <c r="L7" s="98"/>
      <c r="M7" s="77"/>
      <c r="N7" s="98"/>
      <c r="O7" s="78"/>
    </row>
    <row r="8" spans="1:15" ht="15.75" thickBot="1">
      <c r="B8" s="129"/>
      <c r="C8" s="127">
        <v>6906840.0099999998</v>
      </c>
      <c r="D8" s="127">
        <v>8633550</v>
      </c>
      <c r="E8" s="128">
        <v>0.35</v>
      </c>
      <c r="F8" s="127">
        <v>1342229.24</v>
      </c>
      <c r="G8" s="130">
        <v>0.19450000000000001</v>
      </c>
      <c r="H8" s="72"/>
      <c r="J8" s="75"/>
      <c r="K8" s="98"/>
      <c r="L8" s="98"/>
      <c r="M8" s="77"/>
      <c r="N8" s="98"/>
      <c r="O8" s="78"/>
    </row>
    <row r="9" spans="1:15" ht="15.75" thickBot="1">
      <c r="B9" s="129"/>
      <c r="C9" s="127">
        <v>8633550.0099999998</v>
      </c>
      <c r="D9" s="126" t="s">
        <v>29</v>
      </c>
      <c r="E9" s="128">
        <v>0.4</v>
      </c>
      <c r="F9" s="127">
        <v>1773906.74</v>
      </c>
      <c r="G9" s="128" t="s">
        <v>80</v>
      </c>
      <c r="J9" s="75"/>
      <c r="K9" s="98"/>
      <c r="L9" s="98"/>
      <c r="M9" s="77"/>
      <c r="N9" s="98"/>
      <c r="O9" s="78"/>
    </row>
    <row r="10" spans="1:15" ht="15.75" thickBot="1">
      <c r="J10" s="75"/>
      <c r="K10" s="98"/>
      <c r="L10" s="98"/>
      <c r="M10" s="77"/>
      <c r="N10" s="98"/>
      <c r="O10" s="78"/>
    </row>
    <row r="11" spans="1:15" ht="15.75" thickBot="1">
      <c r="J11" s="75"/>
      <c r="K11" s="98"/>
      <c r="L11" s="98"/>
      <c r="M11" s="77"/>
      <c r="N11" s="98"/>
      <c r="O11" s="78"/>
    </row>
    <row r="12" spans="1:15" ht="15.75" thickBot="1">
      <c r="J12" s="79"/>
      <c r="K12" s="80"/>
      <c r="L12" s="80"/>
      <c r="M12" s="81"/>
      <c r="N12" s="80"/>
      <c r="O12" s="81"/>
    </row>
    <row r="13" spans="1:15" ht="15" customHeight="1" thickBot="1">
      <c r="B13" s="272" t="s">
        <v>81</v>
      </c>
      <c r="C13" s="273"/>
      <c r="D13" s="273"/>
      <c r="E13" s="273"/>
      <c r="F13" s="273"/>
      <c r="G13" s="274"/>
    </row>
    <row r="14" spans="1:15" ht="36.75" thickBot="1">
      <c r="B14" s="113" t="s">
        <v>82</v>
      </c>
      <c r="C14" s="275" t="s">
        <v>83</v>
      </c>
      <c r="D14" s="276"/>
      <c r="E14" s="106" t="s">
        <v>84</v>
      </c>
      <c r="F14" s="106" t="s">
        <v>85</v>
      </c>
      <c r="G14" s="114" t="s">
        <v>86</v>
      </c>
    </row>
    <row r="15" spans="1:15" ht="15.75" thickBot="1">
      <c r="B15" s="113"/>
      <c r="C15" s="106" t="s">
        <v>87</v>
      </c>
      <c r="D15" s="106" t="s">
        <v>88</v>
      </c>
      <c r="E15" s="106"/>
      <c r="F15" s="106"/>
      <c r="G15" s="114"/>
    </row>
    <row r="16" spans="1:15" ht="15.75" thickBot="1">
      <c r="B16" s="107" t="s">
        <v>20</v>
      </c>
      <c r="C16" s="108" t="s">
        <v>21</v>
      </c>
      <c r="D16" s="109">
        <v>749749.5</v>
      </c>
      <c r="E16" s="110" t="s">
        <v>22</v>
      </c>
      <c r="F16" s="108" t="s">
        <v>21</v>
      </c>
      <c r="G16" s="110" t="s">
        <v>22</v>
      </c>
    </row>
    <row r="17" spans="2:7" ht="15.75" thickBot="1">
      <c r="B17" s="107"/>
      <c r="C17" s="109">
        <v>749749.51</v>
      </c>
      <c r="D17" s="109">
        <v>1666110</v>
      </c>
      <c r="E17" s="110">
        <v>0.04</v>
      </c>
      <c r="F17" s="109">
        <v>29989.98</v>
      </c>
      <c r="G17" s="111">
        <v>2.1999999999999999E-2</v>
      </c>
    </row>
    <row r="18" spans="2:7" ht="15.75" thickBot="1">
      <c r="B18" s="107"/>
      <c r="C18" s="109">
        <v>1666110.01</v>
      </c>
      <c r="D18" s="109">
        <v>2776850</v>
      </c>
      <c r="E18" s="110">
        <v>0.08</v>
      </c>
      <c r="F18" s="109">
        <v>96634.38</v>
      </c>
      <c r="G18" s="111">
        <v>4.5199999999999997E-2</v>
      </c>
    </row>
    <row r="19" spans="2:7" ht="15.75" thickBot="1">
      <c r="B19" s="107"/>
      <c r="C19" s="109">
        <v>2776850.01</v>
      </c>
      <c r="D19" s="109">
        <v>3887590</v>
      </c>
      <c r="E19" s="110">
        <v>0.13500000000000001</v>
      </c>
      <c r="F19" s="109">
        <v>249361.13</v>
      </c>
      <c r="G19" s="111">
        <v>7.0900000000000005E-2</v>
      </c>
    </row>
    <row r="20" spans="2:7" ht="15.75" thickBot="1">
      <c r="B20" s="107"/>
      <c r="C20" s="109">
        <v>3887590.01</v>
      </c>
      <c r="D20" s="109">
        <v>4998330</v>
      </c>
      <c r="E20" s="110">
        <v>0.23</v>
      </c>
      <c r="F20" s="109">
        <v>618682.18000000005</v>
      </c>
      <c r="G20" s="111">
        <v>0.1062</v>
      </c>
    </row>
    <row r="21" spans="2:7" ht="15.75" thickBot="1">
      <c r="B21" s="107"/>
      <c r="C21" s="109">
        <v>4998330.01</v>
      </c>
      <c r="D21" s="109">
        <v>6664440</v>
      </c>
      <c r="E21" s="110">
        <v>0.30399999999999999</v>
      </c>
      <c r="F21" s="109">
        <v>988558.6</v>
      </c>
      <c r="G21" s="111">
        <v>0.15570000000000001</v>
      </c>
    </row>
    <row r="22" spans="2:7" ht="15.75" thickBot="1">
      <c r="B22" s="107"/>
      <c r="C22" s="109">
        <v>6664440.0099999998</v>
      </c>
      <c r="D22" s="109">
        <v>17216470</v>
      </c>
      <c r="E22" s="110">
        <v>0.35</v>
      </c>
      <c r="F22" s="109">
        <v>1295122.8400000001</v>
      </c>
      <c r="G22" s="111">
        <v>0.27479999999999999</v>
      </c>
    </row>
    <row r="23" spans="2:7" ht="15.75" thickBot="1">
      <c r="B23" s="107"/>
      <c r="C23" s="109">
        <v>17216470.010000002</v>
      </c>
      <c r="D23" s="112" t="s">
        <v>29</v>
      </c>
      <c r="E23" s="110">
        <v>0.4</v>
      </c>
      <c r="F23" s="109">
        <v>2155946.34</v>
      </c>
      <c r="G23" s="110" t="s">
        <v>89</v>
      </c>
    </row>
    <row r="24" spans="2:7" ht="15.75" thickBot="1">
      <c r="B24" s="107" t="s">
        <v>90</v>
      </c>
      <c r="C24" s="108" t="s">
        <v>21</v>
      </c>
      <c r="D24" s="109">
        <v>374874.75</v>
      </c>
      <c r="E24" s="110" t="s">
        <v>22</v>
      </c>
      <c r="F24" s="108" t="s">
        <v>21</v>
      </c>
      <c r="G24" s="110" t="s">
        <v>22</v>
      </c>
    </row>
    <row r="25" spans="2:7" ht="15.75" thickBot="1">
      <c r="B25" s="107"/>
      <c r="C25" s="109">
        <v>374874.76</v>
      </c>
      <c r="D25" s="109">
        <v>833055</v>
      </c>
      <c r="E25" s="110">
        <v>0.04</v>
      </c>
      <c r="F25" s="109">
        <v>14994.99</v>
      </c>
      <c r="G25" s="111">
        <v>2.1999999999999999E-2</v>
      </c>
    </row>
    <row r="26" spans="2:7" ht="15.75" thickBot="1">
      <c r="B26" s="107"/>
      <c r="C26" s="109">
        <v>833055.01</v>
      </c>
      <c r="D26" s="109">
        <v>1388425</v>
      </c>
      <c r="E26" s="110">
        <v>0.08</v>
      </c>
      <c r="F26" s="109">
        <v>48317.19</v>
      </c>
      <c r="G26" s="111">
        <v>4.5199999999999997E-2</v>
      </c>
    </row>
    <row r="27" spans="2:7" ht="15.75" thickBot="1">
      <c r="B27" s="107"/>
      <c r="C27" s="109">
        <v>1388425.01</v>
      </c>
      <c r="D27" s="109">
        <v>1943795</v>
      </c>
      <c r="E27" s="110">
        <v>0.13500000000000001</v>
      </c>
      <c r="F27" s="109">
        <v>124680.57</v>
      </c>
      <c r="G27" s="111">
        <v>7.0900000000000005E-2</v>
      </c>
    </row>
    <row r="28" spans="2:7" ht="15.75" thickBot="1">
      <c r="B28" s="107"/>
      <c r="C28" s="109">
        <v>1943795.01</v>
      </c>
      <c r="D28" s="109">
        <v>2499165</v>
      </c>
      <c r="E28" s="110">
        <v>0.23</v>
      </c>
      <c r="F28" s="109">
        <v>309341.09000000003</v>
      </c>
      <c r="G28" s="111">
        <v>0.1062</v>
      </c>
    </row>
    <row r="29" spans="2:7" ht="15.75" thickBot="1">
      <c r="B29" s="107"/>
      <c r="C29" s="109">
        <v>2499165.0099999998</v>
      </c>
      <c r="D29" s="109">
        <v>3332220</v>
      </c>
      <c r="E29" s="110">
        <v>0.30399999999999999</v>
      </c>
      <c r="F29" s="109">
        <v>494279.3</v>
      </c>
      <c r="G29" s="111">
        <v>0.15570000000000001</v>
      </c>
    </row>
    <row r="30" spans="2:7" ht="15.75" thickBot="1">
      <c r="B30" s="107"/>
      <c r="C30" s="109">
        <v>3332220.01</v>
      </c>
      <c r="D30" s="109">
        <v>8608235</v>
      </c>
      <c r="E30" s="110">
        <v>0.35</v>
      </c>
      <c r="F30" s="109">
        <v>647561.42000000004</v>
      </c>
      <c r="G30" s="111">
        <v>0.27479999999999999</v>
      </c>
    </row>
    <row r="31" spans="2:7" ht="15.75" thickBot="1">
      <c r="B31" s="107"/>
      <c r="C31" s="109">
        <v>8608235.0099999998</v>
      </c>
      <c r="D31" s="112" t="s">
        <v>29</v>
      </c>
      <c r="E31" s="110">
        <v>0.4</v>
      </c>
      <c r="F31" s="109">
        <v>1077973.17</v>
      </c>
      <c r="G31" s="110" t="s">
        <v>89</v>
      </c>
    </row>
    <row r="32" spans="2:7" ht="15.75" thickBot="1">
      <c r="B32" s="107" t="s">
        <v>91</v>
      </c>
      <c r="C32" s="108" t="s">
        <v>21</v>
      </c>
      <c r="D32" s="109">
        <v>174941.51</v>
      </c>
      <c r="E32" s="110" t="s">
        <v>22</v>
      </c>
      <c r="F32" s="108" t="s">
        <v>21</v>
      </c>
      <c r="G32" s="110" t="s">
        <v>22</v>
      </c>
    </row>
    <row r="33" spans="2:7" ht="15.75" thickBot="1">
      <c r="B33" s="107"/>
      <c r="C33" s="109">
        <v>174941.52</v>
      </c>
      <c r="D33" s="109">
        <v>388758.9</v>
      </c>
      <c r="E33" s="110">
        <v>0.04</v>
      </c>
      <c r="F33" s="109">
        <v>6997.66</v>
      </c>
      <c r="G33" s="111">
        <v>2.1999999999999999E-2</v>
      </c>
    </row>
    <row r="34" spans="2:7" ht="15.75" thickBot="1">
      <c r="B34" s="107"/>
      <c r="C34" s="109">
        <v>388758.91</v>
      </c>
      <c r="D34" s="109">
        <v>647931.5</v>
      </c>
      <c r="E34" s="110">
        <v>0.08</v>
      </c>
      <c r="F34" s="109">
        <v>22548.02</v>
      </c>
      <c r="G34" s="111">
        <v>4.5199999999999997E-2</v>
      </c>
    </row>
    <row r="35" spans="2:7" ht="15.75" thickBot="1">
      <c r="B35" s="107"/>
      <c r="C35" s="109">
        <v>647931.51</v>
      </c>
      <c r="D35" s="109">
        <v>907104.1</v>
      </c>
      <c r="E35" s="110">
        <v>0.13500000000000001</v>
      </c>
      <c r="F35" s="109">
        <v>58184.25</v>
      </c>
      <c r="G35" s="111">
        <v>7.0900000000000005E-2</v>
      </c>
    </row>
    <row r="36" spans="2:7" ht="15.75" thickBot="1">
      <c r="B36" s="107"/>
      <c r="C36" s="109">
        <v>907104.11</v>
      </c>
      <c r="D36" s="109">
        <v>1166276.7</v>
      </c>
      <c r="E36" s="110">
        <v>0.23</v>
      </c>
      <c r="F36" s="109">
        <v>144359.14000000001</v>
      </c>
      <c r="G36" s="111">
        <v>0.1062</v>
      </c>
    </row>
    <row r="37" spans="2:7" ht="15.75" thickBot="1">
      <c r="B37" s="107"/>
      <c r="C37" s="109">
        <v>1166276.71</v>
      </c>
      <c r="D37" s="109">
        <v>1555035.6</v>
      </c>
      <c r="E37" s="110">
        <v>0.30399999999999999</v>
      </c>
      <c r="F37" s="109">
        <v>230663.61</v>
      </c>
      <c r="G37" s="111">
        <v>0.15570000000000001</v>
      </c>
    </row>
    <row r="38" spans="2:7" ht="15.75" thickBot="1">
      <c r="B38" s="107"/>
      <c r="C38" s="109">
        <v>1555035.61</v>
      </c>
      <c r="D38" s="109">
        <v>4017175.3</v>
      </c>
      <c r="E38" s="110">
        <v>0.35</v>
      </c>
      <c r="F38" s="109">
        <v>302195.25</v>
      </c>
      <c r="G38" s="111">
        <v>0.27479999999999999</v>
      </c>
    </row>
    <row r="39" spans="2:7" ht="15.75" thickBot="1">
      <c r="B39" s="107"/>
      <c r="C39" s="109">
        <v>4017175.31</v>
      </c>
      <c r="D39" s="112" t="s">
        <v>29</v>
      </c>
      <c r="E39" s="110">
        <v>0.4</v>
      </c>
      <c r="F39" s="109">
        <v>503054.02</v>
      </c>
      <c r="G39" s="110" t="s">
        <v>89</v>
      </c>
    </row>
    <row r="40" spans="2:7" ht="15.75" thickBot="1">
      <c r="B40" s="107" t="s">
        <v>92</v>
      </c>
      <c r="C40" s="108" t="s">
        <v>21</v>
      </c>
      <c r="D40" s="109">
        <v>24991.61</v>
      </c>
      <c r="E40" s="110" t="s">
        <v>22</v>
      </c>
      <c r="F40" s="108" t="s">
        <v>21</v>
      </c>
      <c r="G40" s="110" t="s">
        <v>22</v>
      </c>
    </row>
    <row r="41" spans="2:7" ht="15.75" thickBot="1">
      <c r="B41" s="107"/>
      <c r="C41" s="109">
        <v>24991.62</v>
      </c>
      <c r="D41" s="109">
        <v>55536.9</v>
      </c>
      <c r="E41" s="110">
        <v>0.04</v>
      </c>
      <c r="F41" s="109">
        <v>999.66</v>
      </c>
      <c r="G41" s="111">
        <v>2.1999999999999999E-2</v>
      </c>
    </row>
    <row r="42" spans="2:7" ht="15.75" thickBot="1">
      <c r="B42" s="107"/>
      <c r="C42" s="109">
        <v>55536.91</v>
      </c>
      <c r="D42" s="109">
        <v>92561.5</v>
      </c>
      <c r="E42" s="110">
        <v>0.08</v>
      </c>
      <c r="F42" s="109">
        <v>3221.14</v>
      </c>
      <c r="G42" s="111">
        <v>4.5199999999999997E-2</v>
      </c>
    </row>
    <row r="43" spans="2:7" ht="15.75" thickBot="1">
      <c r="B43" s="107"/>
      <c r="C43" s="109">
        <v>92561.51</v>
      </c>
      <c r="D43" s="109">
        <v>129586.1</v>
      </c>
      <c r="E43" s="110">
        <v>0.13500000000000001</v>
      </c>
      <c r="F43" s="109">
        <v>8312.02</v>
      </c>
      <c r="G43" s="111">
        <v>7.0900000000000005E-2</v>
      </c>
    </row>
    <row r="44" spans="2:7" ht="15.75" thickBot="1">
      <c r="B44" s="107"/>
      <c r="C44" s="109">
        <v>129586.11</v>
      </c>
      <c r="D44" s="109">
        <v>166610.70000000001</v>
      </c>
      <c r="E44" s="110">
        <v>0.23</v>
      </c>
      <c r="F44" s="109">
        <v>20622.7</v>
      </c>
      <c r="G44" s="111">
        <v>0.1062</v>
      </c>
    </row>
    <row r="45" spans="2:7" ht="15.75" thickBot="1">
      <c r="B45" s="107"/>
      <c r="C45" s="109">
        <v>166610.71</v>
      </c>
      <c r="D45" s="109">
        <v>222147.6</v>
      </c>
      <c r="E45" s="110">
        <v>0.30399999999999999</v>
      </c>
      <c r="F45" s="109">
        <v>32951.89</v>
      </c>
      <c r="G45" s="111">
        <v>0.15570000000000001</v>
      </c>
    </row>
    <row r="46" spans="2:7" ht="15.75" thickBot="1">
      <c r="B46" s="107"/>
      <c r="C46" s="109">
        <v>222147.61</v>
      </c>
      <c r="D46" s="109">
        <v>573881.30000000005</v>
      </c>
      <c r="E46" s="110">
        <v>0.35</v>
      </c>
      <c r="F46" s="109">
        <v>43170.68</v>
      </c>
      <c r="G46" s="111">
        <v>0.27479999999999999</v>
      </c>
    </row>
    <row r="47" spans="2:7" ht="15.75" thickBot="1">
      <c r="B47" s="115"/>
      <c r="C47" s="116">
        <v>573881.31000000006</v>
      </c>
      <c r="D47" s="117" t="s">
        <v>29</v>
      </c>
      <c r="E47" s="118">
        <v>0.4</v>
      </c>
      <c r="F47" s="116">
        <v>71864.75</v>
      </c>
      <c r="G47" s="118" t="s">
        <v>89</v>
      </c>
    </row>
  </sheetData>
  <mergeCells count="2">
    <mergeCell ref="B13:G13"/>
    <mergeCell ref="C14:D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C3CE-CD9F-4BA1-BC3C-B67C2B8D2579}">
  <dimension ref="B1:T55"/>
  <sheetViews>
    <sheetView topLeftCell="A16" workbookViewId="0">
      <selection activeCell="C40" sqref="C40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2.28515625" customWidth="1"/>
    <col min="7" max="7" width="1.7109375" customWidth="1"/>
    <col min="8" max="8" width="21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tr">
        <f>+J10</f>
        <v>JULIO</v>
      </c>
      <c r="C1" s="2" t="str">
        <f>+CONCATENATE(B1," ",D1)</f>
        <v>JULIO 2022</v>
      </c>
      <c r="D1">
        <f>+'Impto Unico'!C1</f>
        <v>2022</v>
      </c>
    </row>
    <row r="3" spans="2:14">
      <c r="B3" s="4" t="s">
        <v>1</v>
      </c>
      <c r="C3" s="183">
        <v>30</v>
      </c>
      <c r="D3" t="s">
        <v>93</v>
      </c>
      <c r="E3" s="3">
        <f>C8</f>
        <v>567000</v>
      </c>
      <c r="G3" s="6"/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D4" t="str">
        <f>D9</f>
        <v>FONASA</v>
      </c>
      <c r="E4" s="73"/>
      <c r="G4" s="6"/>
      <c r="I4" s="4"/>
      <c r="J4" s="7">
        <v>81.599999999999994</v>
      </c>
      <c r="K4" s="7">
        <v>122.6</v>
      </c>
      <c r="L4" s="7">
        <f>+J4</f>
        <v>81.599999999999994</v>
      </c>
      <c r="M4" s="4"/>
      <c r="N4" s="4"/>
    </row>
    <row r="5" spans="2:14">
      <c r="B5" s="4" t="s">
        <v>9</v>
      </c>
      <c r="C5" s="10" t="s">
        <v>94</v>
      </c>
      <c r="G5" s="6"/>
      <c r="I5" s="4"/>
      <c r="J5" s="4"/>
      <c r="K5" s="4"/>
      <c r="L5" s="11">
        <f>L4*7%</f>
        <v>5.7119999999999997</v>
      </c>
      <c r="M5" s="4"/>
      <c r="N5" s="4"/>
    </row>
    <row r="6" spans="2:14">
      <c r="B6" s="4" t="s">
        <v>11</v>
      </c>
      <c r="C6" s="12" t="s">
        <v>95</v>
      </c>
      <c r="D6" s="82">
        <v>7.0000000000000007E-2</v>
      </c>
      <c r="E6" s="3">
        <f>+C19*D6</f>
        <v>50219.166666666672</v>
      </c>
      <c r="G6" s="6"/>
      <c r="I6" s="13">
        <f>+'Impto Unico'!L2</f>
        <v>33417.26</v>
      </c>
      <c r="J6" s="14">
        <f>+J4*$I$6</f>
        <v>2726848.4160000002</v>
      </c>
      <c r="K6" s="14">
        <f>K4*$I$6</f>
        <v>4096956.0759999999</v>
      </c>
      <c r="L6" s="15">
        <f>L5*I6</f>
        <v>190879.38912000001</v>
      </c>
      <c r="M6" s="14">
        <f>(380000*4.75)*(1/12)</f>
        <v>150416.66666666666</v>
      </c>
      <c r="N6" s="16">
        <f>C19-E8-IF((E9+E10)&lt;L6,(E9+E10),L6)-E12-E15-E16</f>
        <v>510513.66666666663</v>
      </c>
    </row>
    <row r="7" spans="2:14" ht="15.75" thickBot="1">
      <c r="C7" s="17"/>
      <c r="D7" s="18"/>
      <c r="G7" s="6"/>
      <c r="I7" s="19"/>
      <c r="J7" s="20"/>
      <c r="K7" s="20"/>
      <c r="L7" s="21"/>
      <c r="M7" s="20"/>
      <c r="N7" s="17"/>
    </row>
    <row r="8" spans="2:14">
      <c r="B8" s="22" t="s">
        <v>13</v>
      </c>
      <c r="C8" s="71">
        <v>567000</v>
      </c>
      <c r="D8" s="22" t="s">
        <v>95</v>
      </c>
      <c r="E8" s="23">
        <f>ROUND(IF(C19&lt;J6,C19*J28,J6*J28),0)</f>
        <v>156684</v>
      </c>
      <c r="H8" s="56"/>
      <c r="I8" s="74"/>
    </row>
    <row r="9" spans="2:14">
      <c r="B9" s="24" t="s">
        <v>14</v>
      </c>
      <c r="C9" s="17">
        <f>+M6</f>
        <v>150416.66666666666</v>
      </c>
      <c r="D9" s="24" t="s">
        <v>96</v>
      </c>
      <c r="E9" s="25">
        <f>+ROUND(IF(L6&lt;=E6,L6,E6),0)</f>
        <v>50219</v>
      </c>
      <c r="H9" s="74"/>
    </row>
    <row r="10" spans="2:14">
      <c r="B10" s="24"/>
      <c r="C10" s="31"/>
      <c r="D10" s="24" t="s">
        <v>16</v>
      </c>
      <c r="E10" s="26"/>
      <c r="H10" s="97"/>
      <c r="J10" s="1" t="str">
        <f>+'Impto Unico'!B1</f>
        <v>JULIO</v>
      </c>
      <c r="K10" t="s">
        <v>18</v>
      </c>
    </row>
    <row r="11" spans="2:14">
      <c r="B11" s="24"/>
      <c r="C11" s="31">
        <v>0</v>
      </c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0</v>
      </c>
      <c r="I11" s="27" t="s">
        <v>20</v>
      </c>
      <c r="J11" s="28">
        <f>+'Impto Unico'!C2</f>
        <v>777019.5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>
      <c r="B12" s="24" t="s">
        <v>97</v>
      </c>
      <c r="C12" s="31"/>
      <c r="D12" s="24" t="s">
        <v>98</v>
      </c>
      <c r="E12" s="25">
        <f>ROUND(IF(C5="INDEFINIDO",(IF(C19&gt;$K$6,($K$6*$M$22),($C$19*M22))),0),0)</f>
        <v>0</v>
      </c>
      <c r="H12" s="56"/>
      <c r="I12" s="27"/>
      <c r="J12" s="28">
        <f>+'Impto Unico'!C3</f>
        <v>777019.51</v>
      </c>
      <c r="K12" s="28">
        <f>+'Impto Unico'!D3</f>
        <v>1726710</v>
      </c>
      <c r="L12" s="28">
        <f>+'Impto Unico'!E3</f>
        <v>0.04</v>
      </c>
      <c r="M12" s="28">
        <f>+'Impto Unico'!F3</f>
        <v>31080.78</v>
      </c>
      <c r="N12" s="28">
        <f>+'Impto Unico'!G3</f>
        <v>2.1999999999999999E-2</v>
      </c>
    </row>
    <row r="13" spans="2:14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f>+'Impto Unico'!C4</f>
        <v>1726710.01</v>
      </c>
      <c r="K13" s="28">
        <f>+'Impto Unico'!D4</f>
        <v>2877850</v>
      </c>
      <c r="L13" s="28">
        <f>+'Impto Unico'!E4</f>
        <v>0.08</v>
      </c>
      <c r="M13" s="28">
        <f>+'Impto Unico'!F4</f>
        <v>100149.18</v>
      </c>
      <c r="N13" s="28">
        <f>+'Impto Unico'!G4</f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f>+'Impto Unico'!C5</f>
        <v>2877850.01</v>
      </c>
      <c r="K14" s="28">
        <f>+'Impto Unico'!D5</f>
        <v>4028990</v>
      </c>
      <c r="L14" s="28">
        <f>+'Impto Unico'!E5</f>
        <v>0.13500000000000001</v>
      </c>
      <c r="M14" s="28">
        <f>+'Impto Unico'!F5</f>
        <v>258430.93</v>
      </c>
      <c r="N14" s="28">
        <f>+'Impto Unico'!G5</f>
        <v>7.0900000000000005E-2</v>
      </c>
    </row>
    <row r="15" spans="2:14">
      <c r="B15" s="24"/>
      <c r="C15" s="25"/>
      <c r="D15" s="24" t="s">
        <v>28</v>
      </c>
      <c r="E15" s="31"/>
      <c r="I15" s="27"/>
      <c r="J15" s="28">
        <f>+'Impto Unico'!C6</f>
        <v>4028990.01</v>
      </c>
      <c r="K15" s="28">
        <f>+'Impto Unico'!D6</f>
        <v>5180130</v>
      </c>
      <c r="L15" s="28">
        <f>+'Impto Unico'!E6</f>
        <v>0.23</v>
      </c>
      <c r="M15" s="28">
        <f>+'Impto Unico'!F6</f>
        <v>641184.98</v>
      </c>
      <c r="N15" s="28">
        <f>+'Impto Unico'!G6</f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f>+'Impto Unico'!C7</f>
        <v>5180130.01</v>
      </c>
      <c r="K16" s="28">
        <f>+'Impto Unico'!D7</f>
        <v>6906840</v>
      </c>
      <c r="L16" s="28">
        <f>+'Impto Unico'!E7</f>
        <v>0.30399999999999999</v>
      </c>
      <c r="M16" s="28">
        <f>+'Impto Unico'!F7</f>
        <v>1024514.6</v>
      </c>
      <c r="N16" s="28">
        <f>+'Impto Unico'!G7</f>
        <v>0.15570000000000001</v>
      </c>
    </row>
    <row r="17" spans="2:20">
      <c r="B17" s="24"/>
      <c r="C17" s="25"/>
      <c r="D17" s="24"/>
      <c r="E17" s="25"/>
      <c r="I17" s="27"/>
      <c r="J17" s="28">
        <f>+'Impto Unico'!C8</f>
        <v>6906840.0099999998</v>
      </c>
      <c r="K17" s="28">
        <f>+'Impto Unico'!D8</f>
        <v>8633550</v>
      </c>
      <c r="L17" s="28">
        <f>+'Impto Unico'!E8</f>
        <v>0.35</v>
      </c>
      <c r="M17" s="28">
        <f>+'Impto Unico'!F8</f>
        <v>1342229.24</v>
      </c>
      <c r="N17" s="28">
        <f>+'Impto Unico'!G8</f>
        <v>0.19450000000000001</v>
      </c>
    </row>
    <row r="18" spans="2:20">
      <c r="B18" s="24"/>
      <c r="C18" s="25"/>
      <c r="D18" s="24"/>
      <c r="E18" s="25"/>
      <c r="I18" s="27"/>
      <c r="J18" s="28">
        <f>+'Impto Unico'!C9</f>
        <v>8633550.0099999998</v>
      </c>
      <c r="K18" s="28" t="str">
        <f>+'Impto Unico'!D9</f>
        <v>Y MÁS</v>
      </c>
      <c r="L18" s="28">
        <f>+'Impto Unico'!E9</f>
        <v>0.4</v>
      </c>
      <c r="M18" s="28">
        <f>+'Impto Unico'!F9</f>
        <v>1773906.74</v>
      </c>
      <c r="N18" s="28" t="str">
        <f>+'Impto Unico'!G9</f>
        <v>MÁS DE 19,45%</v>
      </c>
    </row>
    <row r="19" spans="2:20">
      <c r="B19" s="35" t="s">
        <v>33</v>
      </c>
      <c r="C19" s="36">
        <f>C8+C9+C12-C13+C10+C11</f>
        <v>717416.66666666663</v>
      </c>
      <c r="D19" s="35" t="s">
        <v>34</v>
      </c>
      <c r="E19" s="37">
        <f>SUM(E8:E17)</f>
        <v>206903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99</v>
      </c>
      <c r="C24" s="25">
        <v>50000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>
      <c r="B25" s="24" t="s">
        <v>100</v>
      </c>
      <c r="C25" s="25">
        <v>40000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807416.66666666663</v>
      </c>
      <c r="D27" s="48" t="s">
        <v>46</v>
      </c>
      <c r="E27" s="49">
        <f>C19-E19+C24+C25</f>
        <v>600513.66666666663</v>
      </c>
      <c r="H27" s="74"/>
      <c r="I27" s="4" t="s">
        <v>101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I28" s="4" t="s">
        <v>95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</f>
        <v>600513.66666666663</v>
      </c>
      <c r="I29" s="56"/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0.03</v>
      </c>
      <c r="D32" s="16">
        <f>IF(C19&gt;$K$6,($K$6*$C$32),($C$19*C32))</f>
        <v>21522.499999999996</v>
      </c>
      <c r="G32" s="6"/>
    </row>
    <row r="33" spans="2:10">
      <c r="B33" s="4" t="s">
        <v>50</v>
      </c>
      <c r="C33" s="39">
        <v>9.2999999999999992E-3</v>
      </c>
      <c r="D33" s="16">
        <f>IF(C19&lt;$J$6,C19*$C$33,$J$6*$C$33)</f>
        <v>6671.9749999999995</v>
      </c>
      <c r="E33" s="57"/>
      <c r="G33" s="6"/>
    </row>
    <row r="34" spans="2:10">
      <c r="B34" s="4" t="s">
        <v>51</v>
      </c>
      <c r="C34" s="39">
        <v>0</v>
      </c>
      <c r="D34" s="58">
        <f>IF(C19&lt;$J$6,C19*$C$34,$J$6*$C$34)</f>
        <v>0</v>
      </c>
      <c r="E34" s="57"/>
      <c r="G34" s="6"/>
    </row>
    <row r="35" spans="2:10">
      <c r="B35" s="7" t="s">
        <v>52</v>
      </c>
      <c r="C35" s="7"/>
      <c r="D35" s="59">
        <f>C27+D32+D33+D34</f>
        <v>835611.1416666666</v>
      </c>
      <c r="E35" s="60"/>
      <c r="G35" s="6"/>
    </row>
    <row r="36" spans="2:10">
      <c r="B36" s="61"/>
      <c r="C36" s="62"/>
      <c r="E36" s="17"/>
      <c r="G36" s="6"/>
    </row>
    <row r="37" spans="2:10">
      <c r="B37" s="61" t="s">
        <v>102</v>
      </c>
      <c r="C37" s="61" t="s">
        <v>103</v>
      </c>
      <c r="E37" s="17"/>
      <c r="G37" s="6"/>
    </row>
    <row r="38" spans="2:10">
      <c r="B38" t="s">
        <v>104</v>
      </c>
      <c r="C38" s="62" t="s">
        <v>105</v>
      </c>
      <c r="E38" s="17"/>
    </row>
    <row r="39" spans="2:10">
      <c r="B39" s="63" t="s">
        <v>106</v>
      </c>
      <c r="C39" s="62" t="s">
        <v>107</v>
      </c>
      <c r="E39" s="17"/>
    </row>
    <row r="40" spans="2:10">
      <c r="B40" t="s">
        <v>108</v>
      </c>
      <c r="C40" s="144" t="s">
        <v>109</v>
      </c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I44" s="17"/>
    </row>
    <row r="45" spans="2:10">
      <c r="B45" s="61"/>
      <c r="C45" s="69"/>
      <c r="E45" s="17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7669-5ACB-4E4B-8F94-860F9CE7F210}">
  <sheetPr>
    <pageSetUpPr fitToPage="1"/>
  </sheetPr>
  <dimension ref="B3:S48"/>
  <sheetViews>
    <sheetView showGridLines="0" zoomScale="120" zoomScaleNormal="120" zoomScaleSheetLayoutView="90" workbookViewId="0">
      <selection activeCell="B24" sqref="B24:H24"/>
    </sheetView>
  </sheetViews>
  <sheetFormatPr baseColWidth="10" defaultColWidth="11.42578125" defaultRowHeight="15"/>
  <cols>
    <col min="1" max="1" width="7.42578125" customWidth="1"/>
    <col min="2" max="2" width="7.140625" customWidth="1"/>
    <col min="3" max="3" width="2.7109375" customWidth="1"/>
    <col min="4" max="4" width="5.140625" customWidth="1"/>
    <col min="5" max="5" width="4.42578125" customWidth="1"/>
    <col min="6" max="6" width="8.7109375" customWidth="1"/>
    <col min="7" max="7" width="1.28515625" customWidth="1"/>
    <col min="8" max="8" width="7" customWidth="1"/>
    <col min="9" max="9" width="1.42578125" customWidth="1"/>
    <col min="10" max="10" width="4.140625" customWidth="1"/>
    <col min="11" max="11" width="1.7109375" customWidth="1"/>
    <col min="12" max="12" width="9.28515625" customWidth="1"/>
    <col min="13" max="13" width="4.7109375" customWidth="1"/>
    <col min="14" max="14" width="1.28515625" customWidth="1"/>
    <col min="15" max="15" width="1.42578125" customWidth="1"/>
    <col min="16" max="16" width="11.42578125" customWidth="1"/>
    <col min="17" max="17" width="0.7109375" customWidth="1"/>
    <col min="18" max="18" width="7.7109375" customWidth="1"/>
    <col min="19" max="19" width="6.28515625" customWidth="1"/>
    <col min="20" max="20" width="7" customWidth="1"/>
  </cols>
  <sheetData>
    <row r="3" spans="2:19" ht="18.75">
      <c r="J3" s="83"/>
      <c r="K3" s="83"/>
      <c r="L3" s="83"/>
      <c r="M3" s="83"/>
      <c r="R3" s="279" t="str">
        <f>+'Liquidacion Veronica Lopez'!C1</f>
        <v>JULIO 2022</v>
      </c>
      <c r="S3" s="280"/>
    </row>
    <row r="6" spans="2:19" ht="18.75">
      <c r="B6" s="83" t="s">
        <v>110</v>
      </c>
      <c r="C6" s="83"/>
      <c r="D6" s="83"/>
      <c r="E6" s="83"/>
      <c r="F6" s="83"/>
      <c r="G6" s="83"/>
      <c r="H6" s="83"/>
      <c r="I6" s="83"/>
      <c r="J6" s="83"/>
      <c r="L6" s="83" t="s">
        <v>111</v>
      </c>
      <c r="M6" s="83"/>
    </row>
    <row r="8" spans="2:19" ht="18">
      <c r="B8" s="84"/>
      <c r="C8" s="277" t="str">
        <f>+'Liquidacion Veronica Lopez'!C38</f>
        <v>8.907.281-6</v>
      </c>
      <c r="D8" s="278"/>
      <c r="E8" s="278"/>
      <c r="F8" s="278"/>
      <c r="G8" s="278"/>
      <c r="H8" s="278"/>
      <c r="I8" s="85"/>
      <c r="L8" s="86"/>
      <c r="M8" s="86"/>
      <c r="P8" s="91" t="s">
        <v>112</v>
      </c>
      <c r="S8" s="87"/>
    </row>
    <row r="9" spans="2:19" ht="16.5" customHeight="1">
      <c r="B9" s="281"/>
      <c r="C9" s="281"/>
      <c r="D9" s="282" t="str">
        <f>+'Liquidacion Veronica Lopez'!C37</f>
        <v>Verónica López Herrera</v>
      </c>
      <c r="E9" s="282"/>
      <c r="F9" s="282"/>
      <c r="G9" s="282"/>
      <c r="H9" s="282"/>
      <c r="I9" s="282"/>
      <c r="J9" s="282"/>
      <c r="L9" s="86"/>
      <c r="M9" s="91" t="s">
        <v>113</v>
      </c>
      <c r="O9" s="86"/>
      <c r="P9" s="86"/>
    </row>
    <row r="10" spans="2:19" ht="17.25" customHeight="1">
      <c r="B10" s="84"/>
      <c r="C10" s="84"/>
      <c r="D10" s="84"/>
      <c r="E10" s="84"/>
      <c r="F10" s="283" t="str">
        <f>+'Liquidacion Veronica Lopez'!C40</f>
        <v>01 de junio de 2022</v>
      </c>
      <c r="G10" s="282"/>
      <c r="H10" s="282"/>
      <c r="I10" s="282"/>
      <c r="J10" s="282"/>
      <c r="L10" s="86"/>
      <c r="M10" s="86"/>
      <c r="N10" s="91" t="s">
        <v>114</v>
      </c>
      <c r="O10" s="86"/>
      <c r="P10" s="92"/>
    </row>
    <row r="11" spans="2:19" ht="16.5" customHeight="1">
      <c r="B11" s="84"/>
      <c r="C11" s="84"/>
      <c r="D11" s="277" t="str">
        <f>+'Liquidacion Veronica Lopez'!C39</f>
        <v>Aseo y Adm. Bodega</v>
      </c>
      <c r="E11" s="278"/>
      <c r="F11" s="278"/>
      <c r="G11" s="278"/>
      <c r="H11" s="278"/>
      <c r="L11" s="86"/>
      <c r="M11" s="91" t="s">
        <v>115</v>
      </c>
      <c r="O11" s="86"/>
      <c r="P11" s="86"/>
      <c r="Q11" s="86"/>
    </row>
    <row r="12" spans="2:19" ht="27" customHeight="1"/>
    <row r="13" spans="2:19" ht="19.5" customHeight="1"/>
    <row r="14" spans="2:19" ht="4.5" customHeight="1"/>
    <row r="15" spans="2:19" ht="18.75" customHeight="1">
      <c r="B15" s="284">
        <f>+'Liquidacion Veronica Lopez'!C3</f>
        <v>30</v>
      </c>
      <c r="C15" s="284"/>
      <c r="D15" s="284"/>
      <c r="E15" s="284"/>
      <c r="F15" s="284"/>
      <c r="G15" s="52"/>
      <c r="H15" s="285"/>
      <c r="I15" s="285"/>
      <c r="J15" s="285"/>
      <c r="K15" s="285"/>
      <c r="L15" s="285"/>
      <c r="M15" s="285"/>
      <c r="O15" s="285"/>
      <c r="P15" s="285"/>
      <c r="Q15" s="285"/>
      <c r="R15" s="285"/>
      <c r="S15" s="285"/>
    </row>
    <row r="16" spans="2:19" ht="19.5" customHeight="1"/>
    <row r="18" spans="2:19" ht="16.5" customHeight="1"/>
    <row r="19" spans="2:19" ht="18.75" customHeight="1">
      <c r="Q19" t="s">
        <v>116</v>
      </c>
    </row>
    <row r="20" spans="2:19" ht="14.25" customHeight="1">
      <c r="B20" s="83" t="s">
        <v>117</v>
      </c>
    </row>
    <row r="21" spans="2:19" ht="8.25" customHeight="1"/>
    <row r="22" spans="2:19" ht="15.75" customHeight="1">
      <c r="B22" s="284" t="str">
        <f>+'Liquidacion Veronica Lopez'!B8</f>
        <v>Sueldo base</v>
      </c>
      <c r="C22" s="284"/>
      <c r="D22" s="284"/>
      <c r="E22" s="284"/>
      <c r="F22" s="284"/>
      <c r="G22" s="284"/>
      <c r="H22" s="284"/>
      <c r="I22" s="88"/>
      <c r="J22" s="286">
        <f>+'Liquidacion Veronica Lopez'!C8</f>
        <v>567000</v>
      </c>
      <c r="K22" s="286"/>
      <c r="L22" s="286"/>
      <c r="M22" s="286"/>
      <c r="N22" s="88"/>
      <c r="O22" s="284"/>
      <c r="P22" s="284"/>
      <c r="Q22" s="284"/>
      <c r="R22" s="284"/>
      <c r="S22" s="284"/>
    </row>
    <row r="23" spans="2:19" ht="4.5" customHeight="1">
      <c r="B23" s="88"/>
      <c r="C23" s="88"/>
      <c r="D23" s="88"/>
      <c r="E23" s="88"/>
      <c r="F23" s="88"/>
      <c r="G23" s="88"/>
      <c r="H23" s="88"/>
      <c r="I23" s="88"/>
      <c r="J23" s="89"/>
      <c r="K23" s="89"/>
      <c r="L23" s="89"/>
      <c r="M23" s="89"/>
      <c r="N23" s="88"/>
      <c r="O23" s="88"/>
      <c r="P23" s="88"/>
      <c r="Q23" s="88"/>
      <c r="R23" s="88"/>
      <c r="S23" s="88"/>
    </row>
    <row r="24" spans="2:19" ht="15.75" customHeight="1">
      <c r="B24" s="284" t="str">
        <f>+'Liquidacion Veronica Lopez'!B9</f>
        <v>Gratificación</v>
      </c>
      <c r="C24" s="284"/>
      <c r="D24" s="284"/>
      <c r="E24" s="284"/>
      <c r="F24" s="284"/>
      <c r="G24" s="284"/>
      <c r="H24" s="284"/>
      <c r="I24" s="88"/>
      <c r="J24" s="286">
        <f>+'Liquidacion Veronica Lopez'!C9</f>
        <v>150416.66666666666</v>
      </c>
      <c r="K24" s="286"/>
      <c r="L24" s="286"/>
      <c r="M24" s="286"/>
      <c r="N24" s="88"/>
      <c r="O24" s="284"/>
      <c r="P24" s="284"/>
      <c r="Q24" s="284"/>
      <c r="R24" s="284"/>
      <c r="S24" s="284"/>
    </row>
    <row r="25" spans="2:19" ht="4.5" customHeight="1">
      <c r="B25" s="100"/>
      <c r="C25" s="100"/>
      <c r="D25" s="100"/>
      <c r="E25" s="100"/>
      <c r="F25" s="100"/>
      <c r="G25" s="100"/>
      <c r="H25" s="100"/>
      <c r="I25" s="88"/>
      <c r="J25" s="99"/>
      <c r="K25" s="99"/>
      <c r="L25" s="99"/>
      <c r="M25" s="99"/>
      <c r="N25" s="88"/>
      <c r="O25" s="100"/>
      <c r="P25" s="100"/>
      <c r="Q25" s="100"/>
      <c r="R25" s="100"/>
      <c r="S25" s="100"/>
    </row>
    <row r="26" spans="2:19" ht="15.75" customHeight="1">
      <c r="B26" s="284" t="str">
        <f>+'Liquidacion Veronica Lopez'!B24</f>
        <v>Colación</v>
      </c>
      <c r="C26" s="284"/>
      <c r="D26" s="284"/>
      <c r="E26" s="284"/>
      <c r="F26" s="284"/>
      <c r="G26" s="284"/>
      <c r="H26" s="284"/>
      <c r="I26" s="88"/>
      <c r="J26" s="286">
        <f>+'Liquidacion Veronica Lopez'!C24</f>
        <v>50000</v>
      </c>
      <c r="K26" s="286"/>
      <c r="L26" s="286"/>
      <c r="M26" s="286"/>
      <c r="N26" s="88"/>
      <c r="O26" s="100"/>
      <c r="P26" s="100"/>
      <c r="Q26" s="100"/>
      <c r="R26" s="100"/>
      <c r="S26" s="100"/>
    </row>
    <row r="27" spans="2:19" ht="6" customHeight="1">
      <c r="B27" s="100"/>
      <c r="C27" s="100"/>
      <c r="D27" s="100"/>
      <c r="E27" s="100"/>
      <c r="F27" s="100"/>
      <c r="G27" s="100"/>
      <c r="H27" s="100"/>
      <c r="I27" s="88"/>
      <c r="J27" s="99"/>
      <c r="K27" s="99"/>
      <c r="L27" s="99"/>
      <c r="M27" s="99"/>
      <c r="N27" s="88"/>
      <c r="O27" s="100"/>
      <c r="P27" s="100"/>
      <c r="Q27" s="100"/>
      <c r="R27" s="100"/>
      <c r="S27" s="100"/>
    </row>
    <row r="28" spans="2:19" ht="15.75" customHeight="1">
      <c r="B28" s="284" t="str">
        <f>+'Liquidacion Veronica Lopez'!B25</f>
        <v>Movilización</v>
      </c>
      <c r="C28" s="284"/>
      <c r="D28" s="284"/>
      <c r="E28" s="284"/>
      <c r="F28" s="284"/>
      <c r="G28" s="284"/>
      <c r="H28" s="284"/>
      <c r="I28" s="88"/>
      <c r="J28" s="286">
        <f>+'Liquidacion Veronica Lopez'!C25</f>
        <v>40000</v>
      </c>
      <c r="K28" s="286"/>
      <c r="L28" s="286"/>
      <c r="M28" s="286"/>
      <c r="N28" s="88"/>
      <c r="O28" s="100"/>
      <c r="P28" s="100"/>
      <c r="Q28" s="100"/>
      <c r="R28" s="100"/>
      <c r="S28" s="100"/>
    </row>
    <row r="29" spans="2:19" ht="14.25" customHeight="1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</row>
    <row r="30" spans="2:19" ht="18.75">
      <c r="B30" s="90" t="s">
        <v>118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</row>
    <row r="31" spans="2:19" ht="6.75" customHeight="1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</row>
    <row r="32" spans="2:19" ht="15.75" customHeight="1">
      <c r="B32" s="284" t="str">
        <f>+'Liquidacion Veronica Lopez'!D8</f>
        <v>Caja de Empleados</v>
      </c>
      <c r="C32" s="284"/>
      <c r="D32" s="284"/>
      <c r="E32" s="284"/>
      <c r="F32" s="284"/>
      <c r="G32" s="284"/>
      <c r="H32" s="284"/>
      <c r="I32" s="88"/>
      <c r="J32" s="284"/>
      <c r="K32" s="284"/>
      <c r="L32" s="284"/>
      <c r="M32" s="284"/>
      <c r="N32" s="88"/>
      <c r="O32" s="286">
        <f>+'Liquidacion Veronica Lopez'!E8</f>
        <v>156684</v>
      </c>
      <c r="P32" s="286"/>
      <c r="Q32" s="286"/>
      <c r="R32" s="286"/>
      <c r="S32" s="286"/>
    </row>
    <row r="33" spans="2:19" ht="6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9"/>
      <c r="P33" s="89"/>
      <c r="Q33" s="89"/>
      <c r="R33" s="89"/>
      <c r="S33" s="89"/>
    </row>
    <row r="34" spans="2:19" ht="15.75" customHeight="1">
      <c r="B34" s="284" t="str">
        <f>+'Liquidacion Veronica Lopez'!D9</f>
        <v>FONASA</v>
      </c>
      <c r="C34" s="284"/>
      <c r="D34" s="284"/>
      <c r="E34" s="284"/>
      <c r="F34" s="284"/>
      <c r="G34" s="284"/>
      <c r="H34" s="284"/>
      <c r="I34" s="88"/>
      <c r="J34" s="284"/>
      <c r="K34" s="284"/>
      <c r="L34" s="284"/>
      <c r="M34" s="284"/>
      <c r="N34" s="88"/>
      <c r="O34" s="286">
        <f>+'Liquidacion Veronica Lopez'!E9+'Liquidacion Veronica Lopez'!E10</f>
        <v>50219</v>
      </c>
      <c r="P34" s="286"/>
      <c r="Q34" s="286"/>
      <c r="R34" s="286"/>
      <c r="S34" s="286"/>
    </row>
    <row r="35" spans="2:19" ht="5.25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9"/>
      <c r="P35" s="89"/>
      <c r="Q35" s="89"/>
      <c r="R35" s="89"/>
      <c r="S35" s="89"/>
    </row>
    <row r="36" spans="2:19" ht="15" customHeight="1">
      <c r="B36" s="284" t="str">
        <f>+'Liquidacion Veronica Lopez'!D11</f>
        <v>Impuesto Unico</v>
      </c>
      <c r="C36" s="284"/>
      <c r="D36" s="284"/>
      <c r="E36" s="284"/>
      <c r="F36" s="284"/>
      <c r="G36" s="284"/>
      <c r="H36" s="284"/>
      <c r="I36" s="88"/>
      <c r="J36" s="284"/>
      <c r="K36" s="284"/>
      <c r="L36" s="284"/>
      <c r="M36" s="284"/>
      <c r="N36" s="88"/>
      <c r="O36" s="286">
        <f>+'Liquidacion Veronica Lopez'!E11</f>
        <v>0</v>
      </c>
      <c r="P36" s="286"/>
      <c r="Q36" s="286"/>
      <c r="R36" s="286"/>
      <c r="S36" s="286"/>
    </row>
    <row r="37" spans="2:19" ht="6" customHeight="1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</row>
    <row r="38" spans="2:19" ht="15.75" customHeight="1">
      <c r="B38" s="284" t="str">
        <f>+'Liquidacion Veronica Lopez'!D12</f>
        <v>Seg. Cesantia (0,6 %)</v>
      </c>
      <c r="C38" s="284"/>
      <c r="D38" s="284"/>
      <c r="E38" s="284"/>
      <c r="F38" s="284"/>
      <c r="G38" s="284"/>
      <c r="H38" s="284"/>
      <c r="I38" s="88"/>
      <c r="J38" s="284"/>
      <c r="K38" s="284"/>
      <c r="L38" s="284"/>
      <c r="M38" s="284"/>
      <c r="N38" s="88"/>
      <c r="O38" s="286">
        <f>+'Liquidacion Veronica Lopez'!E12</f>
        <v>0</v>
      </c>
      <c r="P38" s="286"/>
      <c r="Q38" s="286"/>
      <c r="R38" s="286"/>
      <c r="S38" s="286"/>
    </row>
    <row r="39" spans="2:19" ht="9" customHeight="1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</row>
    <row r="40" spans="2:19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</row>
    <row r="41" spans="2:19" ht="18" customHeight="1">
      <c r="B41" s="88"/>
      <c r="C41" s="88"/>
      <c r="D41" s="88"/>
      <c r="E41" s="88"/>
      <c r="F41" s="88"/>
      <c r="G41" s="88"/>
      <c r="H41" s="88"/>
      <c r="I41" s="88"/>
      <c r="J41" s="286">
        <f>+'Liquidacion Veronica Lopez'!C27</f>
        <v>807416.66666666663</v>
      </c>
      <c r="K41" s="286"/>
      <c r="L41" s="286"/>
      <c r="M41" s="286"/>
      <c r="N41" s="88"/>
      <c r="O41" s="88"/>
      <c r="P41" s="286">
        <f>+'Liquidacion Veronica Lopez'!E19</f>
        <v>206903</v>
      </c>
      <c r="Q41" s="286"/>
      <c r="R41" s="286"/>
      <c r="S41" s="286"/>
    </row>
    <row r="42" spans="2:19" ht="3" customHeight="1"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</row>
    <row r="43" spans="2:19" ht="6.75" customHeight="1">
      <c r="B43" s="284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4"/>
      <c r="N43" s="88"/>
      <c r="O43" s="284"/>
      <c r="P43" s="284"/>
      <c r="Q43" s="284"/>
      <c r="R43" s="284"/>
      <c r="S43" s="284"/>
    </row>
    <row r="44" spans="2:19">
      <c r="B44" s="88"/>
      <c r="C44" s="88"/>
      <c r="D44" s="88"/>
      <c r="E44" s="88"/>
      <c r="F44" s="88"/>
      <c r="G44" s="88"/>
      <c r="H44" s="88"/>
      <c r="I44" s="88"/>
      <c r="J44" s="286">
        <f>+'Liquidacion Veronica Lopez'!E27</f>
        <v>600513.66666666663</v>
      </c>
      <c r="K44" s="286"/>
      <c r="L44" s="286"/>
      <c r="M44" s="286"/>
      <c r="N44" s="286"/>
      <c r="O44" s="286"/>
      <c r="P44" s="286"/>
      <c r="Q44" s="286"/>
      <c r="R44" s="286"/>
      <c r="S44" s="286"/>
    </row>
    <row r="45" spans="2:19" ht="16.5" customHeight="1"/>
    <row r="46" spans="2:19" ht="15.75" customHeight="1">
      <c r="O46" s="285"/>
      <c r="P46" s="285"/>
      <c r="R46" s="285"/>
      <c r="S46" s="285"/>
    </row>
    <row r="47" spans="2:19" ht="6.75" customHeight="1"/>
    <row r="48" spans="2:19" ht="16.5" customHeight="1">
      <c r="B48" s="285"/>
      <c r="C48" s="285"/>
      <c r="D48" s="285"/>
      <c r="E48" s="285"/>
      <c r="O48" s="285"/>
      <c r="P48" s="285"/>
      <c r="Q48" s="285"/>
      <c r="R48" s="285"/>
      <c r="S48" s="285"/>
    </row>
  </sheetData>
  <mergeCells count="40">
    <mergeCell ref="J44:S44"/>
    <mergeCell ref="O46:P46"/>
    <mergeCell ref="R46:S46"/>
    <mergeCell ref="B48:E48"/>
    <mergeCell ref="O48:S48"/>
    <mergeCell ref="B43:M43"/>
    <mergeCell ref="O43:S43"/>
    <mergeCell ref="B34:H34"/>
    <mergeCell ref="J34:M34"/>
    <mergeCell ref="O34:S34"/>
    <mergeCell ref="B36:H36"/>
    <mergeCell ref="J36:M36"/>
    <mergeCell ref="O36:S36"/>
    <mergeCell ref="B38:H38"/>
    <mergeCell ref="J38:M38"/>
    <mergeCell ref="O38:S38"/>
    <mergeCell ref="J41:M41"/>
    <mergeCell ref="P41:S41"/>
    <mergeCell ref="B24:H24"/>
    <mergeCell ref="J24:M24"/>
    <mergeCell ref="O24:S24"/>
    <mergeCell ref="B32:H32"/>
    <mergeCell ref="J32:M32"/>
    <mergeCell ref="O32:S32"/>
    <mergeCell ref="B26:H26"/>
    <mergeCell ref="J26:M26"/>
    <mergeCell ref="B28:H28"/>
    <mergeCell ref="J28:M28"/>
    <mergeCell ref="B15:F15"/>
    <mergeCell ref="H15:M15"/>
    <mergeCell ref="O15:S15"/>
    <mergeCell ref="B22:H22"/>
    <mergeCell ref="J22:M22"/>
    <mergeCell ref="O22:S22"/>
    <mergeCell ref="D11:H11"/>
    <mergeCell ref="R3:S3"/>
    <mergeCell ref="C8:H8"/>
    <mergeCell ref="B9:C9"/>
    <mergeCell ref="D9:J9"/>
    <mergeCell ref="F10:J10"/>
  </mergeCells>
  <pageMargins left="0.19685039370078741" right="0.19685039370078741" top="0.19685039370078741" bottom="0.19685039370078741" header="0" footer="0"/>
  <pageSetup paperSize="119" scale="94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303A-AEA8-2240-9468-0E5956D23E44}">
  <dimension ref="B1:T55"/>
  <sheetViews>
    <sheetView topLeftCell="A25" workbookViewId="0">
      <selection activeCell="C40" sqref="C40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6.140625" bestFit="1" customWidth="1"/>
    <col min="7" max="7" width="11" bestFit="1" customWidth="1"/>
    <col min="8" max="8" width="21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tr">
        <f>+J10</f>
        <v>JULIO</v>
      </c>
      <c r="C1" s="2" t="str">
        <f>+CONCATENATE(B1," ",D1)</f>
        <v>JULIO 2022</v>
      </c>
      <c r="D1">
        <f>+'Impto Unico'!C1</f>
        <v>2022</v>
      </c>
    </row>
    <row r="3" spans="2:14">
      <c r="B3" s="4" t="s">
        <v>1</v>
      </c>
      <c r="C3" s="5">
        <v>30</v>
      </c>
      <c r="D3" t="s">
        <v>93</v>
      </c>
      <c r="E3" s="3">
        <v>1135354</v>
      </c>
      <c r="G3" s="6"/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D4" t="s">
        <v>119</v>
      </c>
      <c r="E4" s="73">
        <v>5.1950000000000003</v>
      </c>
      <c r="G4" s="6"/>
      <c r="I4" s="4"/>
      <c r="J4" s="7">
        <v>81.599999999999994</v>
      </c>
      <c r="K4" s="7">
        <v>122.6</v>
      </c>
      <c r="L4" s="7">
        <f>+J4</f>
        <v>81.599999999999994</v>
      </c>
      <c r="M4" s="4"/>
      <c r="N4" s="4"/>
    </row>
    <row r="5" spans="2:14">
      <c r="B5" s="4" t="s">
        <v>9</v>
      </c>
      <c r="C5" s="10" t="s">
        <v>10</v>
      </c>
      <c r="E5" s="3">
        <f>+ROUND(E4*I6,0)</f>
        <v>173603</v>
      </c>
      <c r="G5" s="6"/>
      <c r="I5" s="4"/>
      <c r="J5" s="4"/>
      <c r="K5" s="4"/>
      <c r="L5" s="11">
        <f>L4*7%</f>
        <v>5.7119999999999997</v>
      </c>
      <c r="M5" s="4"/>
      <c r="N5" s="4"/>
    </row>
    <row r="6" spans="2:14">
      <c r="B6" s="4" t="s">
        <v>11</v>
      </c>
      <c r="C6" s="12" t="s">
        <v>120</v>
      </c>
      <c r="D6" s="82">
        <v>7.0000000000000007E-2</v>
      </c>
      <c r="E6" s="3">
        <f>+C19*D6</f>
        <v>90003.946666666685</v>
      </c>
      <c r="G6" s="6"/>
      <c r="I6" s="13">
        <f>+'Impto Unico'!L2</f>
        <v>33417.26</v>
      </c>
      <c r="J6" s="14">
        <f>+J4*$I$6</f>
        <v>2726848.4160000002</v>
      </c>
      <c r="K6" s="14">
        <f>K4*$I$6</f>
        <v>4096956.0759999999</v>
      </c>
      <c r="L6" s="15">
        <f>L5*I6</f>
        <v>190879.38912000001</v>
      </c>
      <c r="M6" s="14">
        <f>(380000*4.75)*(1/12)</f>
        <v>150416.66666666666</v>
      </c>
      <c r="N6" s="16">
        <f>C19-E8-IF((E9+E10)&lt;L6,(E9+E10),L6)-E12-E15-E16</f>
        <v>959546.66666666674</v>
      </c>
    </row>
    <row r="7" spans="2:14" ht="15.75" thickBot="1">
      <c r="C7" s="17"/>
      <c r="D7" s="18"/>
      <c r="G7" s="6"/>
      <c r="I7" s="19"/>
      <c r="J7" s="20"/>
      <c r="K7" s="20"/>
      <c r="L7" s="21"/>
      <c r="M7" s="20"/>
      <c r="N7" s="17"/>
    </row>
    <row r="8" spans="2:14">
      <c r="B8" s="22" t="s">
        <v>13</v>
      </c>
      <c r="C8" s="131">
        <f>+((E3/C3)*C3)</f>
        <v>1135354</v>
      </c>
      <c r="D8" s="22" t="s">
        <v>121</v>
      </c>
      <c r="E8" s="23">
        <f>ROUND(IF(C19&lt;J6,C19*J23,J6*J23),0)</f>
        <v>144906</v>
      </c>
      <c r="I8" s="74"/>
    </row>
    <row r="9" spans="2:14">
      <c r="B9" s="24" t="s">
        <v>14</v>
      </c>
      <c r="C9" s="17">
        <f>+M6</f>
        <v>150416.66666666666</v>
      </c>
      <c r="D9" s="24" t="s">
        <v>122</v>
      </c>
      <c r="E9" s="25">
        <f>+ROUND(IF(L6&lt;=E6,L6,E6),0)</f>
        <v>90004</v>
      </c>
      <c r="H9" s="74"/>
    </row>
    <row r="10" spans="2:14">
      <c r="B10" s="24"/>
      <c r="C10" s="31"/>
      <c r="D10" s="24" t="s">
        <v>16</v>
      </c>
      <c r="E10" s="26">
        <f>+E5-E9</f>
        <v>83599</v>
      </c>
      <c r="H10" s="97"/>
      <c r="J10" s="1" t="str">
        <f>+'Impto Unico'!B1</f>
        <v>JULIO</v>
      </c>
      <c r="K10" t="s">
        <v>18</v>
      </c>
    </row>
    <row r="11" spans="2:14">
      <c r="B11" s="24"/>
      <c r="C11" s="31">
        <v>0</v>
      </c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7301</v>
      </c>
      <c r="I11" s="27" t="s">
        <v>20</v>
      </c>
      <c r="J11" s="28">
        <f>+'Impto Unico'!C2</f>
        <v>777019.5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>
      <c r="B12" s="24" t="s">
        <v>97</v>
      </c>
      <c r="C12" s="31"/>
      <c r="D12" s="24" t="s">
        <v>98</v>
      </c>
      <c r="E12" s="25">
        <f>ROUND(IF(C5="INDEFINIDO",(IF(C19&gt;$K$6,($K$6*$M$22),($C$19*M22))),0),0)</f>
        <v>7715</v>
      </c>
      <c r="H12" s="56"/>
      <c r="I12" s="27"/>
      <c r="J12" s="28">
        <f>+'Impto Unico'!C3</f>
        <v>777019.51</v>
      </c>
      <c r="K12" s="28">
        <f>+'Impto Unico'!D3</f>
        <v>1726710</v>
      </c>
      <c r="L12" s="28">
        <f>+'Impto Unico'!E3</f>
        <v>0.04</v>
      </c>
      <c r="M12" s="28">
        <f>+'Impto Unico'!F3</f>
        <v>31080.78</v>
      </c>
      <c r="N12" s="28">
        <f>+'Impto Unico'!G3</f>
        <v>2.1999999999999999E-2</v>
      </c>
    </row>
    <row r="13" spans="2:14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f>+'Impto Unico'!C4</f>
        <v>1726710.01</v>
      </c>
      <c r="K13" s="28">
        <f>+'Impto Unico'!D4</f>
        <v>2877850</v>
      </c>
      <c r="L13" s="28">
        <f>+'Impto Unico'!E4</f>
        <v>0.08</v>
      </c>
      <c r="M13" s="28">
        <f>+'Impto Unico'!F4</f>
        <v>100149.18</v>
      </c>
      <c r="N13" s="28">
        <f>+'Impto Unico'!G4</f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f>+'Impto Unico'!C5</f>
        <v>2877850.01</v>
      </c>
      <c r="K14" s="28">
        <f>+'Impto Unico'!D5</f>
        <v>4028990</v>
      </c>
      <c r="L14" s="28">
        <f>+'Impto Unico'!E5</f>
        <v>0.13500000000000001</v>
      </c>
      <c r="M14" s="28">
        <f>+'Impto Unico'!F5</f>
        <v>258430.93</v>
      </c>
      <c r="N14" s="28">
        <f>+'Impto Unico'!G5</f>
        <v>7.0900000000000005E-2</v>
      </c>
    </row>
    <row r="15" spans="2:14">
      <c r="B15" s="24"/>
      <c r="C15" s="25"/>
      <c r="D15" s="24" t="s">
        <v>28</v>
      </c>
      <c r="E15" s="31"/>
      <c r="I15" s="27"/>
      <c r="J15" s="28">
        <f>+'Impto Unico'!C6</f>
        <v>4028990.01</v>
      </c>
      <c r="K15" s="28">
        <f>+'Impto Unico'!D6</f>
        <v>5180130</v>
      </c>
      <c r="L15" s="28">
        <f>+'Impto Unico'!E6</f>
        <v>0.23</v>
      </c>
      <c r="M15" s="28">
        <f>+'Impto Unico'!F6</f>
        <v>641184.98</v>
      </c>
      <c r="N15" s="28">
        <f>+'Impto Unico'!G6</f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f>+'Impto Unico'!C7</f>
        <v>5180130.01</v>
      </c>
      <c r="K16" s="28">
        <f>+'Impto Unico'!D7</f>
        <v>6906840</v>
      </c>
      <c r="L16" s="28">
        <f>+'Impto Unico'!E7</f>
        <v>0.30399999999999999</v>
      </c>
      <c r="M16" s="28">
        <f>+'Impto Unico'!F7</f>
        <v>1024514.6</v>
      </c>
      <c r="N16" s="28">
        <f>+'Impto Unico'!G7</f>
        <v>0.15570000000000001</v>
      </c>
    </row>
    <row r="17" spans="2:20">
      <c r="B17" s="24"/>
      <c r="C17" s="25"/>
      <c r="D17" s="24"/>
      <c r="E17" s="25"/>
      <c r="I17" s="27"/>
      <c r="J17" s="28">
        <f>+'Impto Unico'!C8</f>
        <v>6906840.0099999998</v>
      </c>
      <c r="K17" s="28">
        <f>+'Impto Unico'!D8</f>
        <v>8633550</v>
      </c>
      <c r="L17" s="28">
        <f>+'Impto Unico'!E8</f>
        <v>0.35</v>
      </c>
      <c r="M17" s="28">
        <f>+'Impto Unico'!F8</f>
        <v>1342229.24</v>
      </c>
      <c r="N17" s="28">
        <f>+'Impto Unico'!G8</f>
        <v>0.19450000000000001</v>
      </c>
    </row>
    <row r="18" spans="2:20">
      <c r="B18" s="24"/>
      <c r="C18" s="25"/>
      <c r="D18" s="24"/>
      <c r="E18" s="25"/>
      <c r="I18" s="27"/>
      <c r="J18" s="28">
        <f>+'Impto Unico'!C9</f>
        <v>8633550.0099999998</v>
      </c>
      <c r="K18" s="28" t="str">
        <f>+'Impto Unico'!D9</f>
        <v>Y MÁS</v>
      </c>
      <c r="L18" s="28">
        <f>+'Impto Unico'!E9</f>
        <v>0.4</v>
      </c>
      <c r="M18" s="28">
        <f>+'Impto Unico'!F9</f>
        <v>1773906.74</v>
      </c>
      <c r="N18" s="28" t="str">
        <f>+'Impto Unico'!G9</f>
        <v>MÁS DE 19,45%</v>
      </c>
    </row>
    <row r="19" spans="2:20">
      <c r="B19" s="35" t="s">
        <v>33</v>
      </c>
      <c r="C19" s="36">
        <f>C8+C9+C12-C13+C10+C11</f>
        <v>1285770.6666666667</v>
      </c>
      <c r="D19" s="35" t="s">
        <v>34</v>
      </c>
      <c r="E19" s="37">
        <f>SUM(E8:E17)</f>
        <v>333525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99</v>
      </c>
      <c r="C24" s="25">
        <v>50000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>
      <c r="B25" s="24" t="s">
        <v>100</v>
      </c>
      <c r="C25" s="25">
        <v>50000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1385770.6666666667</v>
      </c>
      <c r="D27" s="48" t="s">
        <v>46</v>
      </c>
      <c r="E27" s="49">
        <f>C19-E19+C24+C25</f>
        <v>1052245.6666666667</v>
      </c>
      <c r="H27" s="74"/>
      <c r="I27" s="4" t="s">
        <v>101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I28" s="4" t="s">
        <v>95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</f>
        <v>1052245.6666666667</v>
      </c>
      <c r="I29" s="56"/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2.4E-2</v>
      </c>
      <c r="D32" s="16">
        <f>IF(C19&gt;$K$6,($K$6*$C$32),($C$19*C32))+1</f>
        <v>30859.496000000003</v>
      </c>
      <c r="G32" s="6"/>
    </row>
    <row r="33" spans="2:10">
      <c r="B33" s="4" t="s">
        <v>123</v>
      </c>
      <c r="C33" s="39">
        <v>9.2999999999999992E-3</v>
      </c>
      <c r="D33" s="16">
        <f>IF(C19&lt;$J$6,C19*$C$33,$J$6*$C$33)</f>
        <v>11957.6672</v>
      </c>
      <c r="E33" s="57"/>
      <c r="G33" s="6"/>
    </row>
    <row r="34" spans="2:10">
      <c r="B34" s="4" t="s">
        <v>51</v>
      </c>
      <c r="C34" s="39">
        <v>1.8599999999999998E-2</v>
      </c>
      <c r="D34" s="58">
        <f>IF(C19&lt;$J$6,C19*$C$34,$J$6*$C$34)</f>
        <v>23915.3344</v>
      </c>
      <c r="E34" s="57"/>
      <c r="G34" s="6"/>
    </row>
    <row r="35" spans="2:10">
      <c r="B35" s="7" t="s">
        <v>52</v>
      </c>
      <c r="C35" s="7"/>
      <c r="D35" s="59">
        <f>C27+D32+D33+D34</f>
        <v>1452503.1642666669</v>
      </c>
      <c r="E35" s="60"/>
      <c r="G35" s="6"/>
    </row>
    <row r="36" spans="2:10">
      <c r="B36" s="61"/>
      <c r="C36" s="62"/>
      <c r="E36" s="17"/>
      <c r="G36" s="6"/>
    </row>
    <row r="37" spans="2:10">
      <c r="B37" s="61" t="s">
        <v>102</v>
      </c>
      <c r="C37" s="61" t="s">
        <v>124</v>
      </c>
      <c r="E37" s="17"/>
      <c r="G37" s="6"/>
    </row>
    <row r="38" spans="2:10">
      <c r="B38" t="s">
        <v>104</v>
      </c>
      <c r="C38" s="62" t="s">
        <v>125</v>
      </c>
      <c r="E38" s="17"/>
    </row>
    <row r="39" spans="2:10">
      <c r="B39" s="63" t="s">
        <v>106</v>
      </c>
      <c r="C39" s="62" t="s">
        <v>126</v>
      </c>
      <c r="E39" s="17"/>
    </row>
    <row r="40" spans="2:10">
      <c r="B40" t="s">
        <v>108</v>
      </c>
      <c r="C40" s="144"/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G44" s="102"/>
      <c r="H44" s="6"/>
      <c r="I44" s="17"/>
    </row>
    <row r="45" spans="2:10">
      <c r="B45" s="61"/>
      <c r="C45" s="69"/>
      <c r="D45" s="125"/>
      <c r="E45" s="17"/>
      <c r="G45" s="102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18A6-3F4B-5E4C-A1CF-409C049E7140}">
  <sheetPr>
    <pageSetUpPr fitToPage="1"/>
  </sheetPr>
  <dimension ref="B3:S48"/>
  <sheetViews>
    <sheetView showGridLines="0" topLeftCell="A19" zoomScale="120" zoomScaleNormal="120" zoomScaleSheetLayoutView="90" workbookViewId="0">
      <selection activeCell="U40" sqref="U40"/>
    </sheetView>
  </sheetViews>
  <sheetFormatPr baseColWidth="10" defaultColWidth="11.42578125" defaultRowHeight="15"/>
  <cols>
    <col min="1" max="1" width="7.42578125" customWidth="1"/>
    <col min="2" max="2" width="7.140625" customWidth="1"/>
    <col min="3" max="3" width="2.7109375" customWidth="1"/>
    <col min="4" max="4" width="5.140625" customWidth="1"/>
    <col min="5" max="5" width="4.42578125" customWidth="1"/>
    <col min="6" max="6" width="8.7109375" customWidth="1"/>
    <col min="7" max="7" width="1.28515625" customWidth="1"/>
    <col min="8" max="8" width="7" customWidth="1"/>
    <col min="9" max="9" width="1.42578125" customWidth="1"/>
    <col min="10" max="10" width="4.140625" customWidth="1"/>
    <col min="11" max="11" width="1.7109375" customWidth="1"/>
    <col min="12" max="12" width="9.28515625" customWidth="1"/>
    <col min="13" max="13" width="4.7109375" customWidth="1"/>
    <col min="14" max="14" width="1.28515625" customWidth="1"/>
    <col min="15" max="15" width="1.42578125" customWidth="1"/>
    <col min="16" max="16" width="11.42578125" customWidth="1"/>
    <col min="17" max="17" width="0.7109375" customWidth="1"/>
    <col min="18" max="18" width="7.7109375" customWidth="1"/>
    <col min="19" max="19" width="6.28515625" customWidth="1"/>
    <col min="20" max="20" width="7" customWidth="1"/>
  </cols>
  <sheetData>
    <row r="3" spans="2:19" ht="18.75">
      <c r="J3" s="83"/>
      <c r="K3" s="83"/>
      <c r="L3" s="83"/>
      <c r="M3" s="83"/>
      <c r="R3" s="279" t="str">
        <f>+'Liquidacion Filip Carrasco'!C1</f>
        <v>JULIO 2022</v>
      </c>
      <c r="S3" s="280"/>
    </row>
    <row r="6" spans="2:19" ht="18.75">
      <c r="B6" s="83" t="s">
        <v>110</v>
      </c>
      <c r="C6" s="83"/>
      <c r="D6" s="83"/>
      <c r="E6" s="83"/>
      <c r="F6" s="83"/>
      <c r="G6" s="83"/>
      <c r="H6" s="83"/>
      <c r="I6" s="83"/>
      <c r="J6" s="83"/>
      <c r="L6" s="83" t="s">
        <v>111</v>
      </c>
      <c r="M6" s="83"/>
    </row>
    <row r="8" spans="2:19" ht="18">
      <c r="B8" s="84"/>
      <c r="C8" s="277" t="str">
        <f>+'Liquidacion Filip Carrasco'!C38</f>
        <v>17534302-4</v>
      </c>
      <c r="D8" s="278"/>
      <c r="E8" s="278"/>
      <c r="F8" s="278"/>
      <c r="G8" s="278"/>
      <c r="H8" s="278"/>
      <c r="I8" s="85"/>
      <c r="L8" s="86"/>
      <c r="M8" s="86"/>
      <c r="P8" s="91" t="s">
        <v>112</v>
      </c>
      <c r="S8" s="87"/>
    </row>
    <row r="9" spans="2:19" ht="16.5" customHeight="1">
      <c r="B9" s="281"/>
      <c r="C9" s="281"/>
      <c r="D9" s="282" t="str">
        <f>+'Liquidacion Filip Carrasco'!C37</f>
        <v>Filip Carrasco</v>
      </c>
      <c r="E9" s="282"/>
      <c r="F9" s="282"/>
      <c r="G9" s="282"/>
      <c r="H9" s="282"/>
      <c r="I9" s="282"/>
      <c r="J9" s="282"/>
      <c r="L9" s="86"/>
      <c r="M9" s="91" t="s">
        <v>113</v>
      </c>
      <c r="O9" s="86"/>
      <c r="P9" s="86"/>
    </row>
    <row r="10" spans="2:19" ht="17.25" customHeight="1">
      <c r="B10" s="84"/>
      <c r="C10" s="84"/>
      <c r="D10" s="84"/>
      <c r="E10" s="84"/>
      <c r="F10" s="283"/>
      <c r="G10" s="282"/>
      <c r="H10" s="282"/>
      <c r="I10" s="282"/>
      <c r="J10" s="282"/>
      <c r="L10" s="86"/>
      <c r="M10" s="86"/>
      <c r="N10" s="91" t="s">
        <v>114</v>
      </c>
      <c r="O10" s="86"/>
      <c r="P10" s="92"/>
    </row>
    <row r="11" spans="2:19" ht="16.5" customHeight="1">
      <c r="B11" s="84"/>
      <c r="C11" s="84"/>
      <c r="D11" s="277" t="str">
        <f>+'Liquidacion Filip Carrasco'!C39</f>
        <v>Directivo</v>
      </c>
      <c r="E11" s="278"/>
      <c r="F11" s="278"/>
      <c r="G11" s="278"/>
      <c r="H11" s="278"/>
      <c r="L11" s="86"/>
      <c r="M11" s="91" t="s">
        <v>115</v>
      </c>
      <c r="O11" s="86"/>
      <c r="P11" s="86"/>
      <c r="Q11" s="86"/>
    </row>
    <row r="12" spans="2:19" ht="27" customHeight="1"/>
    <row r="13" spans="2:19" ht="19.5" customHeight="1"/>
    <row r="14" spans="2:19" ht="4.5" customHeight="1"/>
    <row r="15" spans="2:19" ht="18.75" customHeight="1">
      <c r="B15" s="284">
        <f>+'Liquidacion Filip Carrasco'!C3</f>
        <v>30</v>
      </c>
      <c r="C15" s="284"/>
      <c r="D15" s="284"/>
      <c r="E15" s="284"/>
      <c r="F15" s="284"/>
      <c r="G15" s="52"/>
      <c r="H15" s="285"/>
      <c r="I15" s="285"/>
      <c r="J15" s="285"/>
      <c r="K15" s="285"/>
      <c r="L15" s="285"/>
      <c r="M15" s="285"/>
      <c r="O15" s="285"/>
      <c r="P15" s="285"/>
      <c r="Q15" s="285"/>
      <c r="R15" s="285"/>
      <c r="S15" s="285"/>
    </row>
    <row r="16" spans="2:19" ht="19.5" customHeight="1"/>
    <row r="18" spans="2:19" ht="16.5" customHeight="1"/>
    <row r="19" spans="2:19" ht="18.75" customHeight="1">
      <c r="Q19" t="s">
        <v>116</v>
      </c>
    </row>
    <row r="20" spans="2:19" ht="14.25" customHeight="1">
      <c r="B20" s="83" t="s">
        <v>117</v>
      </c>
    </row>
    <row r="21" spans="2:19" ht="8.25" customHeight="1"/>
    <row r="22" spans="2:19" ht="15.75" customHeight="1">
      <c r="B22" s="284" t="str">
        <f>+'Liquidacion Filip Carrasco'!B8</f>
        <v>Sueldo base</v>
      </c>
      <c r="C22" s="284"/>
      <c r="D22" s="284"/>
      <c r="E22" s="284"/>
      <c r="F22" s="284"/>
      <c r="G22" s="284"/>
      <c r="H22" s="284"/>
      <c r="I22" s="88"/>
      <c r="J22" s="286">
        <f>+'Liquidacion Filip Carrasco'!C8</f>
        <v>1135354</v>
      </c>
      <c r="K22" s="286"/>
      <c r="L22" s="286"/>
      <c r="M22" s="286"/>
      <c r="N22" s="88"/>
      <c r="O22" s="284"/>
      <c r="P22" s="284"/>
      <c r="Q22" s="284"/>
      <c r="R22" s="284"/>
      <c r="S22" s="284"/>
    </row>
    <row r="23" spans="2:19" ht="4.5" customHeight="1">
      <c r="B23" s="88"/>
      <c r="C23" s="88"/>
      <c r="D23" s="88"/>
      <c r="E23" s="88"/>
      <c r="F23" s="88"/>
      <c r="G23" s="88"/>
      <c r="H23" s="88"/>
      <c r="I23" s="88"/>
      <c r="J23" s="89"/>
      <c r="K23" s="89"/>
      <c r="L23" s="89"/>
      <c r="M23" s="89"/>
      <c r="N23" s="88"/>
      <c r="O23" s="88"/>
      <c r="P23" s="88"/>
      <c r="Q23" s="88"/>
      <c r="R23" s="88"/>
      <c r="S23" s="88"/>
    </row>
    <row r="24" spans="2:19" ht="15.75" customHeight="1">
      <c r="B24" s="284" t="str">
        <f>+'Liquidacion Filip Carrasco'!B9</f>
        <v>Gratificación</v>
      </c>
      <c r="C24" s="284"/>
      <c r="D24" s="284"/>
      <c r="E24" s="284"/>
      <c r="F24" s="284"/>
      <c r="G24" s="284"/>
      <c r="H24" s="284"/>
      <c r="I24" s="88"/>
      <c r="J24" s="286">
        <f>+'Liquidacion Filip Carrasco'!C9</f>
        <v>150416.66666666666</v>
      </c>
      <c r="K24" s="286"/>
      <c r="L24" s="286"/>
      <c r="M24" s="286"/>
      <c r="N24" s="88"/>
      <c r="O24" s="284"/>
      <c r="P24" s="284"/>
      <c r="Q24" s="284"/>
      <c r="R24" s="284"/>
      <c r="S24" s="284"/>
    </row>
    <row r="25" spans="2:19" ht="4.5" customHeight="1">
      <c r="B25" s="100"/>
      <c r="C25" s="100"/>
      <c r="D25" s="100"/>
      <c r="E25" s="100"/>
      <c r="F25" s="100"/>
      <c r="G25" s="100"/>
      <c r="H25" s="100"/>
      <c r="I25" s="88"/>
      <c r="J25" s="99"/>
      <c r="K25" s="99"/>
      <c r="L25" s="99"/>
      <c r="M25" s="99"/>
      <c r="N25" s="88"/>
      <c r="O25" s="100"/>
      <c r="P25" s="100"/>
      <c r="Q25" s="100"/>
      <c r="R25" s="100"/>
      <c r="S25" s="100"/>
    </row>
    <row r="26" spans="2:19" ht="15.75" customHeight="1">
      <c r="B26" s="284" t="str">
        <f>+'Liquidacion Filip Carrasco'!B24</f>
        <v>Colación</v>
      </c>
      <c r="C26" s="284"/>
      <c r="D26" s="284"/>
      <c r="E26" s="284"/>
      <c r="F26" s="284"/>
      <c r="G26" s="284"/>
      <c r="H26" s="284"/>
      <c r="I26" s="88"/>
      <c r="J26" s="286">
        <f>+'Liquidacion Filip Carrasco'!C24</f>
        <v>50000</v>
      </c>
      <c r="K26" s="286"/>
      <c r="L26" s="286"/>
      <c r="M26" s="286"/>
      <c r="N26" s="88"/>
      <c r="O26" s="100"/>
      <c r="P26" s="100"/>
      <c r="Q26" s="100"/>
      <c r="R26" s="100"/>
      <c r="S26" s="100"/>
    </row>
    <row r="27" spans="2:19" ht="6" customHeight="1">
      <c r="B27" s="100"/>
      <c r="C27" s="100"/>
      <c r="D27" s="100"/>
      <c r="E27" s="100"/>
      <c r="F27" s="100"/>
      <c r="G27" s="100"/>
      <c r="H27" s="100"/>
      <c r="I27" s="88"/>
      <c r="J27" s="99"/>
      <c r="K27" s="99"/>
      <c r="L27" s="99"/>
      <c r="M27" s="99"/>
      <c r="N27" s="88"/>
      <c r="O27" s="100"/>
      <c r="P27" s="100"/>
      <c r="Q27" s="100"/>
      <c r="R27" s="100"/>
      <c r="S27" s="100"/>
    </row>
    <row r="28" spans="2:19" ht="15.75" customHeight="1">
      <c r="B28" s="284" t="str">
        <f>+'Liquidacion Filip Carrasco'!B25</f>
        <v>Movilización</v>
      </c>
      <c r="C28" s="284"/>
      <c r="D28" s="284"/>
      <c r="E28" s="284"/>
      <c r="F28" s="284"/>
      <c r="G28" s="284"/>
      <c r="H28" s="284"/>
      <c r="I28" s="88"/>
      <c r="J28" s="286">
        <f>+'Liquidacion Filip Carrasco'!C25</f>
        <v>50000</v>
      </c>
      <c r="K28" s="286"/>
      <c r="L28" s="286"/>
      <c r="M28" s="286"/>
      <c r="N28" s="88"/>
      <c r="O28" s="100"/>
      <c r="P28" s="100"/>
      <c r="Q28" s="100"/>
      <c r="R28" s="100"/>
      <c r="S28" s="100"/>
    </row>
    <row r="29" spans="2:19" ht="5.45" customHeight="1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</row>
    <row r="31" spans="2:19" ht="6.75" customHeight="1"/>
    <row r="32" spans="2:19" ht="15.75" customHeight="1">
      <c r="B32" s="90" t="s">
        <v>118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</row>
    <row r="33" spans="2:19" ht="6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2:19" ht="15.75" customHeight="1">
      <c r="B34" s="284" t="str">
        <f>'Liquidacion Filip Carrasco'!C6</f>
        <v>Habitat</v>
      </c>
      <c r="C34" s="284"/>
      <c r="D34" s="284"/>
      <c r="E34" s="284"/>
      <c r="F34" s="284"/>
      <c r="G34" s="284"/>
      <c r="H34" s="284"/>
      <c r="I34" s="88"/>
      <c r="J34" s="100"/>
      <c r="K34" s="100"/>
      <c r="L34" s="100"/>
      <c r="M34" s="100"/>
      <c r="N34" s="88"/>
      <c r="O34" s="99"/>
      <c r="P34" s="286">
        <f>'Liquidacion Filip Carrasco'!E8</f>
        <v>144906</v>
      </c>
      <c r="Q34" s="286"/>
      <c r="R34" s="286"/>
      <c r="S34" s="286"/>
    </row>
    <row r="35" spans="2:19" ht="5.25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9"/>
      <c r="P35" s="89"/>
      <c r="Q35" s="89"/>
      <c r="R35" s="89"/>
      <c r="S35" s="89"/>
    </row>
    <row r="36" spans="2:19" ht="15" customHeight="1">
      <c r="B36" s="284" t="str">
        <f>+'Liquidacion Filip Carrasco'!D9</f>
        <v>Consalud</v>
      </c>
      <c r="C36" s="284"/>
      <c r="D36" s="284"/>
      <c r="E36" s="284"/>
      <c r="F36" s="284"/>
      <c r="G36" s="284"/>
      <c r="H36" s="284"/>
      <c r="I36" s="88"/>
      <c r="J36" s="100"/>
      <c r="K36" s="100"/>
      <c r="L36" s="100"/>
      <c r="M36" s="100"/>
      <c r="N36" s="88"/>
      <c r="O36" s="99"/>
      <c r="P36" s="286">
        <f>'Liquidacion Filip Carrasco'!E5</f>
        <v>173603</v>
      </c>
      <c r="Q36" s="286"/>
      <c r="R36" s="286"/>
      <c r="S36" s="286"/>
    </row>
    <row r="37" spans="2:19" ht="6" customHeight="1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  <c r="P37" s="89"/>
      <c r="Q37" s="89"/>
      <c r="R37" s="89"/>
      <c r="S37" s="89"/>
    </row>
    <row r="38" spans="2:19" ht="15.75" customHeight="1">
      <c r="B38" s="284" t="str">
        <f>+'Liquidacion Filip Carrasco'!D11</f>
        <v>Impuesto Unico</v>
      </c>
      <c r="C38" s="284"/>
      <c r="D38" s="284"/>
      <c r="E38" s="284"/>
      <c r="F38" s="284"/>
      <c r="G38" s="284"/>
      <c r="H38" s="284"/>
      <c r="I38" s="88"/>
      <c r="J38" s="100"/>
      <c r="K38" s="100"/>
      <c r="L38" s="100"/>
      <c r="M38" s="100"/>
      <c r="N38" s="88"/>
      <c r="O38" s="99"/>
      <c r="P38" s="286">
        <f>'Liquidacion Filip Carrasco'!E11</f>
        <v>7301</v>
      </c>
      <c r="Q38" s="286"/>
      <c r="R38" s="286"/>
      <c r="S38" s="286"/>
    </row>
    <row r="39" spans="2:19" ht="9" customHeight="1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</row>
    <row r="40" spans="2:19" ht="14.45" customHeight="1">
      <c r="B40" s="284" t="str">
        <f>+'Liquidacion Filip Carrasco'!D12</f>
        <v>Seg. Cesantia (0,6 %)</v>
      </c>
      <c r="C40" s="284"/>
      <c r="D40" s="284"/>
      <c r="E40" s="284"/>
      <c r="F40" s="284"/>
      <c r="G40" s="284"/>
      <c r="H40" s="284"/>
      <c r="I40" s="88"/>
      <c r="J40" s="100"/>
      <c r="K40" s="100"/>
      <c r="L40" s="100"/>
      <c r="M40" s="100"/>
      <c r="N40" s="88"/>
      <c r="O40" s="99"/>
      <c r="P40" s="286">
        <f>'Liquidacion Filip Carrasco'!E12</f>
        <v>7715</v>
      </c>
      <c r="Q40" s="286"/>
      <c r="R40" s="286"/>
      <c r="S40" s="286"/>
    </row>
    <row r="41" spans="2:19" ht="18" customHeight="1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2:19" ht="11.1" customHeight="1">
      <c r="B42" s="88"/>
      <c r="C42" s="88"/>
      <c r="D42" s="88"/>
      <c r="E42" s="88"/>
      <c r="F42" s="88"/>
      <c r="G42" s="88"/>
      <c r="H42" s="88"/>
      <c r="I42" s="88"/>
      <c r="J42" s="286">
        <f>'Liquidacion Filip Carrasco'!C27</f>
        <v>1385770.6666666667</v>
      </c>
      <c r="K42" s="286"/>
      <c r="L42" s="286"/>
      <c r="M42" s="286"/>
      <c r="N42" s="88"/>
      <c r="O42" s="88"/>
      <c r="P42" s="286">
        <f>'Liquidacion Filip Carrasco'!E19</f>
        <v>333525</v>
      </c>
      <c r="Q42" s="286"/>
      <c r="R42" s="286"/>
      <c r="S42" s="286"/>
    </row>
    <row r="43" spans="2:19" ht="11.45" customHeight="1">
      <c r="B43" s="88"/>
      <c r="C43" s="88"/>
      <c r="D43" s="88"/>
      <c r="E43" s="88"/>
      <c r="F43" s="88"/>
      <c r="G43" s="88"/>
      <c r="H43" s="88"/>
      <c r="I43" s="88"/>
      <c r="J43" s="99"/>
      <c r="K43" s="99"/>
      <c r="L43" s="99"/>
      <c r="M43" s="99"/>
      <c r="N43" s="88"/>
      <c r="O43" s="88"/>
      <c r="P43" s="99"/>
      <c r="Q43" s="99"/>
      <c r="R43" s="99"/>
      <c r="S43" s="99"/>
    </row>
    <row r="44" spans="2:19">
      <c r="B44" s="88"/>
      <c r="C44" s="88"/>
      <c r="D44" s="88"/>
      <c r="E44" s="88"/>
      <c r="F44" s="88"/>
      <c r="G44" s="88"/>
      <c r="H44" s="88"/>
      <c r="I44" s="88"/>
      <c r="J44" s="286">
        <f>'Liquidacion Filip Carrasco'!E29</f>
        <v>1052245.6666666667</v>
      </c>
      <c r="K44" s="286"/>
      <c r="L44" s="286"/>
      <c r="M44" s="286"/>
      <c r="N44" s="286"/>
      <c r="O44" s="286"/>
      <c r="P44" s="286"/>
      <c r="Q44" s="286"/>
      <c r="R44" s="286"/>
      <c r="S44" s="286"/>
    </row>
    <row r="45" spans="2:19" ht="16.5" customHeight="1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88"/>
      <c r="O45" s="100"/>
      <c r="P45" s="100"/>
      <c r="Q45" s="100"/>
      <c r="R45" s="100"/>
      <c r="S45" s="100"/>
    </row>
    <row r="46" spans="2:19" ht="15.75" customHeight="1">
      <c r="B46" s="88"/>
      <c r="C46" s="88"/>
      <c r="D46" s="88"/>
      <c r="E46" s="88"/>
      <c r="F46" s="88"/>
      <c r="G46" s="88"/>
      <c r="H46" s="88"/>
      <c r="I46" s="88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8" spans="2:19">
      <c r="B48" s="52"/>
      <c r="C48" s="52"/>
      <c r="D48" s="52"/>
      <c r="E48" s="52"/>
      <c r="O48" s="52"/>
      <c r="P48" s="52"/>
      <c r="Q48" s="52"/>
      <c r="R48" s="52"/>
      <c r="S48" s="52"/>
    </row>
  </sheetData>
  <mergeCells count="30">
    <mergeCell ref="J44:S44"/>
    <mergeCell ref="B36:H36"/>
    <mergeCell ref="B38:H38"/>
    <mergeCell ref="B34:H34"/>
    <mergeCell ref="B28:H28"/>
    <mergeCell ref="J28:M28"/>
    <mergeCell ref="B40:H40"/>
    <mergeCell ref="P34:S34"/>
    <mergeCell ref="P36:S36"/>
    <mergeCell ref="P38:S38"/>
    <mergeCell ref="P42:S42"/>
    <mergeCell ref="J42:M42"/>
    <mergeCell ref="P40:S40"/>
    <mergeCell ref="B15:F15"/>
    <mergeCell ref="H15:M15"/>
    <mergeCell ref="O15:S15"/>
    <mergeCell ref="B22:H22"/>
    <mergeCell ref="J22:M22"/>
    <mergeCell ref="O22:S22"/>
    <mergeCell ref="B24:H24"/>
    <mergeCell ref="J24:M24"/>
    <mergeCell ref="O24:S24"/>
    <mergeCell ref="B26:H26"/>
    <mergeCell ref="J26:M26"/>
    <mergeCell ref="D11:H11"/>
    <mergeCell ref="R3:S3"/>
    <mergeCell ref="C8:H8"/>
    <mergeCell ref="B9:C9"/>
    <mergeCell ref="D9:J9"/>
    <mergeCell ref="F10:J10"/>
  </mergeCells>
  <pageMargins left="0.19685039370078741" right="0.19685039370078741" top="0.19685039370078741" bottom="0.19685039370078741" header="0" footer="0"/>
  <pageSetup paperSize="119" scale="9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16C2-AF25-4728-B1CF-EC3C35A234E4}">
  <dimension ref="B1:T55"/>
  <sheetViews>
    <sheetView topLeftCell="A28" workbookViewId="0">
      <selection activeCell="C40" sqref="C40"/>
    </sheetView>
  </sheetViews>
  <sheetFormatPr baseColWidth="10" defaultColWidth="11.42578125" defaultRowHeight="15"/>
  <cols>
    <col min="1" max="1" width="2.28515625" customWidth="1"/>
    <col min="2" max="2" width="21.42578125" bestFit="1" customWidth="1"/>
    <col min="3" max="3" width="20.42578125" style="3" bestFit="1" customWidth="1"/>
    <col min="4" max="4" width="33.7109375" bestFit="1" customWidth="1"/>
    <col min="5" max="5" width="17.28515625" style="3" bestFit="1" customWidth="1"/>
    <col min="6" max="6" width="6.140625" bestFit="1" customWidth="1"/>
    <col min="7" max="7" width="11" bestFit="1" customWidth="1"/>
    <col min="8" max="8" width="21" customWidth="1"/>
    <col min="9" max="9" width="17.7109375" customWidth="1"/>
    <col min="10" max="10" width="14.42578125" customWidth="1"/>
    <col min="11" max="11" width="14.28515625" customWidth="1"/>
    <col min="12" max="12" width="18.28515625" customWidth="1"/>
    <col min="13" max="13" width="15" customWidth="1"/>
    <col min="14" max="14" width="12.42578125" bestFit="1" customWidth="1"/>
    <col min="16" max="16" width="13.28515625" bestFit="1" customWidth="1"/>
    <col min="257" max="257" width="2.28515625" customWidth="1"/>
    <col min="258" max="258" width="21.42578125" bestFit="1" customWidth="1"/>
    <col min="259" max="259" width="13" bestFit="1" customWidth="1"/>
    <col min="260" max="260" width="16.28515625" bestFit="1" customWidth="1"/>
    <col min="261" max="261" width="12" bestFit="1" customWidth="1"/>
    <col min="262" max="262" width="2.28515625" customWidth="1"/>
    <col min="263" max="263" width="1.7109375" customWidth="1"/>
    <col min="264" max="264" width="21" customWidth="1"/>
    <col min="265" max="265" width="17.7109375" customWidth="1"/>
    <col min="266" max="266" width="14.42578125" customWidth="1"/>
    <col min="267" max="267" width="14.28515625" customWidth="1"/>
    <col min="268" max="268" width="18.28515625" customWidth="1"/>
    <col min="269" max="269" width="15" customWidth="1"/>
    <col min="270" max="270" width="12.42578125" bestFit="1" customWidth="1"/>
    <col min="272" max="272" width="13.28515625" bestFit="1" customWidth="1"/>
    <col min="513" max="513" width="2.28515625" customWidth="1"/>
    <col min="514" max="514" width="21.42578125" bestFit="1" customWidth="1"/>
    <col min="515" max="515" width="13" bestFit="1" customWidth="1"/>
    <col min="516" max="516" width="16.28515625" bestFit="1" customWidth="1"/>
    <col min="517" max="517" width="12" bestFit="1" customWidth="1"/>
    <col min="518" max="518" width="2.28515625" customWidth="1"/>
    <col min="519" max="519" width="1.7109375" customWidth="1"/>
    <col min="520" max="520" width="21" customWidth="1"/>
    <col min="521" max="521" width="17.7109375" customWidth="1"/>
    <col min="522" max="522" width="14.42578125" customWidth="1"/>
    <col min="523" max="523" width="14.28515625" customWidth="1"/>
    <col min="524" max="524" width="18.28515625" customWidth="1"/>
    <col min="525" max="525" width="15" customWidth="1"/>
    <col min="526" max="526" width="12.42578125" bestFit="1" customWidth="1"/>
    <col min="528" max="528" width="13.28515625" bestFit="1" customWidth="1"/>
    <col min="769" max="769" width="2.28515625" customWidth="1"/>
    <col min="770" max="770" width="21.42578125" bestFit="1" customWidth="1"/>
    <col min="771" max="771" width="13" bestFit="1" customWidth="1"/>
    <col min="772" max="772" width="16.28515625" bestFit="1" customWidth="1"/>
    <col min="773" max="773" width="12" bestFit="1" customWidth="1"/>
    <col min="774" max="774" width="2.28515625" customWidth="1"/>
    <col min="775" max="775" width="1.7109375" customWidth="1"/>
    <col min="776" max="776" width="21" customWidth="1"/>
    <col min="777" max="777" width="17.7109375" customWidth="1"/>
    <col min="778" max="778" width="14.42578125" customWidth="1"/>
    <col min="779" max="779" width="14.28515625" customWidth="1"/>
    <col min="780" max="780" width="18.28515625" customWidth="1"/>
    <col min="781" max="781" width="15" customWidth="1"/>
    <col min="782" max="782" width="12.42578125" bestFit="1" customWidth="1"/>
    <col min="784" max="784" width="13.28515625" bestFit="1" customWidth="1"/>
    <col min="1025" max="1025" width="2.28515625" customWidth="1"/>
    <col min="1026" max="1026" width="21.42578125" bestFit="1" customWidth="1"/>
    <col min="1027" max="1027" width="13" bestFit="1" customWidth="1"/>
    <col min="1028" max="1028" width="16.28515625" bestFit="1" customWidth="1"/>
    <col min="1029" max="1029" width="12" bestFit="1" customWidth="1"/>
    <col min="1030" max="1030" width="2.28515625" customWidth="1"/>
    <col min="1031" max="1031" width="1.7109375" customWidth="1"/>
    <col min="1032" max="1032" width="21" customWidth="1"/>
    <col min="1033" max="1033" width="17.7109375" customWidth="1"/>
    <col min="1034" max="1034" width="14.42578125" customWidth="1"/>
    <col min="1035" max="1035" width="14.28515625" customWidth="1"/>
    <col min="1036" max="1036" width="18.28515625" customWidth="1"/>
    <col min="1037" max="1037" width="15" customWidth="1"/>
    <col min="1038" max="1038" width="12.42578125" bestFit="1" customWidth="1"/>
    <col min="1040" max="1040" width="13.28515625" bestFit="1" customWidth="1"/>
    <col min="1281" max="1281" width="2.28515625" customWidth="1"/>
    <col min="1282" max="1282" width="21.42578125" bestFit="1" customWidth="1"/>
    <col min="1283" max="1283" width="13" bestFit="1" customWidth="1"/>
    <col min="1284" max="1284" width="16.28515625" bestFit="1" customWidth="1"/>
    <col min="1285" max="1285" width="12" bestFit="1" customWidth="1"/>
    <col min="1286" max="1286" width="2.28515625" customWidth="1"/>
    <col min="1287" max="1287" width="1.7109375" customWidth="1"/>
    <col min="1288" max="1288" width="21" customWidth="1"/>
    <col min="1289" max="1289" width="17.7109375" customWidth="1"/>
    <col min="1290" max="1290" width="14.42578125" customWidth="1"/>
    <col min="1291" max="1291" width="14.28515625" customWidth="1"/>
    <col min="1292" max="1292" width="18.28515625" customWidth="1"/>
    <col min="1293" max="1293" width="15" customWidth="1"/>
    <col min="1294" max="1294" width="12.42578125" bestFit="1" customWidth="1"/>
    <col min="1296" max="1296" width="13.28515625" bestFit="1" customWidth="1"/>
    <col min="1537" max="1537" width="2.28515625" customWidth="1"/>
    <col min="1538" max="1538" width="21.42578125" bestFit="1" customWidth="1"/>
    <col min="1539" max="1539" width="13" bestFit="1" customWidth="1"/>
    <col min="1540" max="1540" width="16.28515625" bestFit="1" customWidth="1"/>
    <col min="1541" max="1541" width="12" bestFit="1" customWidth="1"/>
    <col min="1542" max="1542" width="2.28515625" customWidth="1"/>
    <col min="1543" max="1543" width="1.7109375" customWidth="1"/>
    <col min="1544" max="1544" width="21" customWidth="1"/>
    <col min="1545" max="1545" width="17.7109375" customWidth="1"/>
    <col min="1546" max="1546" width="14.42578125" customWidth="1"/>
    <col min="1547" max="1547" width="14.28515625" customWidth="1"/>
    <col min="1548" max="1548" width="18.28515625" customWidth="1"/>
    <col min="1549" max="1549" width="15" customWidth="1"/>
    <col min="1550" max="1550" width="12.42578125" bestFit="1" customWidth="1"/>
    <col min="1552" max="1552" width="13.28515625" bestFit="1" customWidth="1"/>
    <col min="1793" max="1793" width="2.28515625" customWidth="1"/>
    <col min="1794" max="1794" width="21.42578125" bestFit="1" customWidth="1"/>
    <col min="1795" max="1795" width="13" bestFit="1" customWidth="1"/>
    <col min="1796" max="1796" width="16.28515625" bestFit="1" customWidth="1"/>
    <col min="1797" max="1797" width="12" bestFit="1" customWidth="1"/>
    <col min="1798" max="1798" width="2.28515625" customWidth="1"/>
    <col min="1799" max="1799" width="1.7109375" customWidth="1"/>
    <col min="1800" max="1800" width="21" customWidth="1"/>
    <col min="1801" max="1801" width="17.7109375" customWidth="1"/>
    <col min="1802" max="1802" width="14.42578125" customWidth="1"/>
    <col min="1803" max="1803" width="14.28515625" customWidth="1"/>
    <col min="1804" max="1804" width="18.28515625" customWidth="1"/>
    <col min="1805" max="1805" width="15" customWidth="1"/>
    <col min="1806" max="1806" width="12.42578125" bestFit="1" customWidth="1"/>
    <col min="1808" max="1808" width="13.28515625" bestFit="1" customWidth="1"/>
    <col min="2049" max="2049" width="2.28515625" customWidth="1"/>
    <col min="2050" max="2050" width="21.42578125" bestFit="1" customWidth="1"/>
    <col min="2051" max="2051" width="13" bestFit="1" customWidth="1"/>
    <col min="2052" max="2052" width="16.28515625" bestFit="1" customWidth="1"/>
    <col min="2053" max="2053" width="12" bestFit="1" customWidth="1"/>
    <col min="2054" max="2054" width="2.28515625" customWidth="1"/>
    <col min="2055" max="2055" width="1.7109375" customWidth="1"/>
    <col min="2056" max="2056" width="21" customWidth="1"/>
    <col min="2057" max="2057" width="17.7109375" customWidth="1"/>
    <col min="2058" max="2058" width="14.42578125" customWidth="1"/>
    <col min="2059" max="2059" width="14.28515625" customWidth="1"/>
    <col min="2060" max="2060" width="18.28515625" customWidth="1"/>
    <col min="2061" max="2061" width="15" customWidth="1"/>
    <col min="2062" max="2062" width="12.42578125" bestFit="1" customWidth="1"/>
    <col min="2064" max="2064" width="13.28515625" bestFit="1" customWidth="1"/>
    <col min="2305" max="2305" width="2.28515625" customWidth="1"/>
    <col min="2306" max="2306" width="21.42578125" bestFit="1" customWidth="1"/>
    <col min="2307" max="2307" width="13" bestFit="1" customWidth="1"/>
    <col min="2308" max="2308" width="16.28515625" bestFit="1" customWidth="1"/>
    <col min="2309" max="2309" width="12" bestFit="1" customWidth="1"/>
    <col min="2310" max="2310" width="2.28515625" customWidth="1"/>
    <col min="2311" max="2311" width="1.7109375" customWidth="1"/>
    <col min="2312" max="2312" width="21" customWidth="1"/>
    <col min="2313" max="2313" width="17.7109375" customWidth="1"/>
    <col min="2314" max="2314" width="14.42578125" customWidth="1"/>
    <col min="2315" max="2315" width="14.28515625" customWidth="1"/>
    <col min="2316" max="2316" width="18.28515625" customWidth="1"/>
    <col min="2317" max="2317" width="15" customWidth="1"/>
    <col min="2318" max="2318" width="12.42578125" bestFit="1" customWidth="1"/>
    <col min="2320" max="2320" width="13.28515625" bestFit="1" customWidth="1"/>
    <col min="2561" max="2561" width="2.28515625" customWidth="1"/>
    <col min="2562" max="2562" width="21.42578125" bestFit="1" customWidth="1"/>
    <col min="2563" max="2563" width="13" bestFit="1" customWidth="1"/>
    <col min="2564" max="2564" width="16.28515625" bestFit="1" customWidth="1"/>
    <col min="2565" max="2565" width="12" bestFit="1" customWidth="1"/>
    <col min="2566" max="2566" width="2.28515625" customWidth="1"/>
    <col min="2567" max="2567" width="1.7109375" customWidth="1"/>
    <col min="2568" max="2568" width="21" customWidth="1"/>
    <col min="2569" max="2569" width="17.7109375" customWidth="1"/>
    <col min="2570" max="2570" width="14.42578125" customWidth="1"/>
    <col min="2571" max="2571" width="14.28515625" customWidth="1"/>
    <col min="2572" max="2572" width="18.28515625" customWidth="1"/>
    <col min="2573" max="2573" width="15" customWidth="1"/>
    <col min="2574" max="2574" width="12.42578125" bestFit="1" customWidth="1"/>
    <col min="2576" max="2576" width="13.28515625" bestFit="1" customWidth="1"/>
    <col min="2817" max="2817" width="2.28515625" customWidth="1"/>
    <col min="2818" max="2818" width="21.42578125" bestFit="1" customWidth="1"/>
    <col min="2819" max="2819" width="13" bestFit="1" customWidth="1"/>
    <col min="2820" max="2820" width="16.28515625" bestFit="1" customWidth="1"/>
    <col min="2821" max="2821" width="12" bestFit="1" customWidth="1"/>
    <col min="2822" max="2822" width="2.28515625" customWidth="1"/>
    <col min="2823" max="2823" width="1.7109375" customWidth="1"/>
    <col min="2824" max="2824" width="21" customWidth="1"/>
    <col min="2825" max="2825" width="17.7109375" customWidth="1"/>
    <col min="2826" max="2826" width="14.42578125" customWidth="1"/>
    <col min="2827" max="2827" width="14.28515625" customWidth="1"/>
    <col min="2828" max="2828" width="18.28515625" customWidth="1"/>
    <col min="2829" max="2829" width="15" customWidth="1"/>
    <col min="2830" max="2830" width="12.42578125" bestFit="1" customWidth="1"/>
    <col min="2832" max="2832" width="13.28515625" bestFit="1" customWidth="1"/>
    <col min="3073" max="3073" width="2.28515625" customWidth="1"/>
    <col min="3074" max="3074" width="21.42578125" bestFit="1" customWidth="1"/>
    <col min="3075" max="3075" width="13" bestFit="1" customWidth="1"/>
    <col min="3076" max="3076" width="16.28515625" bestFit="1" customWidth="1"/>
    <col min="3077" max="3077" width="12" bestFit="1" customWidth="1"/>
    <col min="3078" max="3078" width="2.28515625" customWidth="1"/>
    <col min="3079" max="3079" width="1.7109375" customWidth="1"/>
    <col min="3080" max="3080" width="21" customWidth="1"/>
    <col min="3081" max="3081" width="17.7109375" customWidth="1"/>
    <col min="3082" max="3082" width="14.42578125" customWidth="1"/>
    <col min="3083" max="3083" width="14.28515625" customWidth="1"/>
    <col min="3084" max="3084" width="18.28515625" customWidth="1"/>
    <col min="3085" max="3085" width="15" customWidth="1"/>
    <col min="3086" max="3086" width="12.42578125" bestFit="1" customWidth="1"/>
    <col min="3088" max="3088" width="13.28515625" bestFit="1" customWidth="1"/>
    <col min="3329" max="3329" width="2.28515625" customWidth="1"/>
    <col min="3330" max="3330" width="21.42578125" bestFit="1" customWidth="1"/>
    <col min="3331" max="3331" width="13" bestFit="1" customWidth="1"/>
    <col min="3332" max="3332" width="16.28515625" bestFit="1" customWidth="1"/>
    <col min="3333" max="3333" width="12" bestFit="1" customWidth="1"/>
    <col min="3334" max="3334" width="2.28515625" customWidth="1"/>
    <col min="3335" max="3335" width="1.7109375" customWidth="1"/>
    <col min="3336" max="3336" width="21" customWidth="1"/>
    <col min="3337" max="3337" width="17.7109375" customWidth="1"/>
    <col min="3338" max="3338" width="14.42578125" customWidth="1"/>
    <col min="3339" max="3339" width="14.28515625" customWidth="1"/>
    <col min="3340" max="3340" width="18.28515625" customWidth="1"/>
    <col min="3341" max="3341" width="15" customWidth="1"/>
    <col min="3342" max="3342" width="12.42578125" bestFit="1" customWidth="1"/>
    <col min="3344" max="3344" width="13.28515625" bestFit="1" customWidth="1"/>
    <col min="3585" max="3585" width="2.28515625" customWidth="1"/>
    <col min="3586" max="3586" width="21.42578125" bestFit="1" customWidth="1"/>
    <col min="3587" max="3587" width="13" bestFit="1" customWidth="1"/>
    <col min="3588" max="3588" width="16.28515625" bestFit="1" customWidth="1"/>
    <col min="3589" max="3589" width="12" bestFit="1" customWidth="1"/>
    <col min="3590" max="3590" width="2.28515625" customWidth="1"/>
    <col min="3591" max="3591" width="1.7109375" customWidth="1"/>
    <col min="3592" max="3592" width="21" customWidth="1"/>
    <col min="3593" max="3593" width="17.7109375" customWidth="1"/>
    <col min="3594" max="3594" width="14.42578125" customWidth="1"/>
    <col min="3595" max="3595" width="14.28515625" customWidth="1"/>
    <col min="3596" max="3596" width="18.28515625" customWidth="1"/>
    <col min="3597" max="3597" width="15" customWidth="1"/>
    <col min="3598" max="3598" width="12.42578125" bestFit="1" customWidth="1"/>
    <col min="3600" max="3600" width="13.28515625" bestFit="1" customWidth="1"/>
    <col min="3841" max="3841" width="2.28515625" customWidth="1"/>
    <col min="3842" max="3842" width="21.42578125" bestFit="1" customWidth="1"/>
    <col min="3843" max="3843" width="13" bestFit="1" customWidth="1"/>
    <col min="3844" max="3844" width="16.28515625" bestFit="1" customWidth="1"/>
    <col min="3845" max="3845" width="12" bestFit="1" customWidth="1"/>
    <col min="3846" max="3846" width="2.28515625" customWidth="1"/>
    <col min="3847" max="3847" width="1.7109375" customWidth="1"/>
    <col min="3848" max="3848" width="21" customWidth="1"/>
    <col min="3849" max="3849" width="17.7109375" customWidth="1"/>
    <col min="3850" max="3850" width="14.42578125" customWidth="1"/>
    <col min="3851" max="3851" width="14.28515625" customWidth="1"/>
    <col min="3852" max="3852" width="18.28515625" customWidth="1"/>
    <col min="3853" max="3853" width="15" customWidth="1"/>
    <col min="3854" max="3854" width="12.42578125" bestFit="1" customWidth="1"/>
    <col min="3856" max="3856" width="13.28515625" bestFit="1" customWidth="1"/>
    <col min="4097" max="4097" width="2.28515625" customWidth="1"/>
    <col min="4098" max="4098" width="21.42578125" bestFit="1" customWidth="1"/>
    <col min="4099" max="4099" width="13" bestFit="1" customWidth="1"/>
    <col min="4100" max="4100" width="16.28515625" bestFit="1" customWidth="1"/>
    <col min="4101" max="4101" width="12" bestFit="1" customWidth="1"/>
    <col min="4102" max="4102" width="2.28515625" customWidth="1"/>
    <col min="4103" max="4103" width="1.7109375" customWidth="1"/>
    <col min="4104" max="4104" width="21" customWidth="1"/>
    <col min="4105" max="4105" width="17.7109375" customWidth="1"/>
    <col min="4106" max="4106" width="14.42578125" customWidth="1"/>
    <col min="4107" max="4107" width="14.28515625" customWidth="1"/>
    <col min="4108" max="4108" width="18.28515625" customWidth="1"/>
    <col min="4109" max="4109" width="15" customWidth="1"/>
    <col min="4110" max="4110" width="12.42578125" bestFit="1" customWidth="1"/>
    <col min="4112" max="4112" width="13.28515625" bestFit="1" customWidth="1"/>
    <col min="4353" max="4353" width="2.28515625" customWidth="1"/>
    <col min="4354" max="4354" width="21.42578125" bestFit="1" customWidth="1"/>
    <col min="4355" max="4355" width="13" bestFit="1" customWidth="1"/>
    <col min="4356" max="4356" width="16.28515625" bestFit="1" customWidth="1"/>
    <col min="4357" max="4357" width="12" bestFit="1" customWidth="1"/>
    <col min="4358" max="4358" width="2.28515625" customWidth="1"/>
    <col min="4359" max="4359" width="1.7109375" customWidth="1"/>
    <col min="4360" max="4360" width="21" customWidth="1"/>
    <col min="4361" max="4361" width="17.7109375" customWidth="1"/>
    <col min="4362" max="4362" width="14.42578125" customWidth="1"/>
    <col min="4363" max="4363" width="14.28515625" customWidth="1"/>
    <col min="4364" max="4364" width="18.28515625" customWidth="1"/>
    <col min="4365" max="4365" width="15" customWidth="1"/>
    <col min="4366" max="4366" width="12.42578125" bestFit="1" customWidth="1"/>
    <col min="4368" max="4368" width="13.28515625" bestFit="1" customWidth="1"/>
    <col min="4609" max="4609" width="2.28515625" customWidth="1"/>
    <col min="4610" max="4610" width="21.42578125" bestFit="1" customWidth="1"/>
    <col min="4611" max="4611" width="13" bestFit="1" customWidth="1"/>
    <col min="4612" max="4612" width="16.28515625" bestFit="1" customWidth="1"/>
    <col min="4613" max="4613" width="12" bestFit="1" customWidth="1"/>
    <col min="4614" max="4614" width="2.28515625" customWidth="1"/>
    <col min="4615" max="4615" width="1.7109375" customWidth="1"/>
    <col min="4616" max="4616" width="21" customWidth="1"/>
    <col min="4617" max="4617" width="17.7109375" customWidth="1"/>
    <col min="4618" max="4618" width="14.42578125" customWidth="1"/>
    <col min="4619" max="4619" width="14.28515625" customWidth="1"/>
    <col min="4620" max="4620" width="18.28515625" customWidth="1"/>
    <col min="4621" max="4621" width="15" customWidth="1"/>
    <col min="4622" max="4622" width="12.42578125" bestFit="1" customWidth="1"/>
    <col min="4624" max="4624" width="13.28515625" bestFit="1" customWidth="1"/>
    <col min="4865" max="4865" width="2.28515625" customWidth="1"/>
    <col min="4866" max="4866" width="21.42578125" bestFit="1" customWidth="1"/>
    <col min="4867" max="4867" width="13" bestFit="1" customWidth="1"/>
    <col min="4868" max="4868" width="16.28515625" bestFit="1" customWidth="1"/>
    <col min="4869" max="4869" width="12" bestFit="1" customWidth="1"/>
    <col min="4870" max="4870" width="2.28515625" customWidth="1"/>
    <col min="4871" max="4871" width="1.7109375" customWidth="1"/>
    <col min="4872" max="4872" width="21" customWidth="1"/>
    <col min="4873" max="4873" width="17.7109375" customWidth="1"/>
    <col min="4874" max="4874" width="14.42578125" customWidth="1"/>
    <col min="4875" max="4875" width="14.28515625" customWidth="1"/>
    <col min="4876" max="4876" width="18.28515625" customWidth="1"/>
    <col min="4877" max="4877" width="15" customWidth="1"/>
    <col min="4878" max="4878" width="12.42578125" bestFit="1" customWidth="1"/>
    <col min="4880" max="4880" width="13.28515625" bestFit="1" customWidth="1"/>
    <col min="5121" max="5121" width="2.28515625" customWidth="1"/>
    <col min="5122" max="5122" width="21.42578125" bestFit="1" customWidth="1"/>
    <col min="5123" max="5123" width="13" bestFit="1" customWidth="1"/>
    <col min="5124" max="5124" width="16.28515625" bestFit="1" customWidth="1"/>
    <col min="5125" max="5125" width="12" bestFit="1" customWidth="1"/>
    <col min="5126" max="5126" width="2.28515625" customWidth="1"/>
    <col min="5127" max="5127" width="1.7109375" customWidth="1"/>
    <col min="5128" max="5128" width="21" customWidth="1"/>
    <col min="5129" max="5129" width="17.7109375" customWidth="1"/>
    <col min="5130" max="5130" width="14.42578125" customWidth="1"/>
    <col min="5131" max="5131" width="14.28515625" customWidth="1"/>
    <col min="5132" max="5132" width="18.28515625" customWidth="1"/>
    <col min="5133" max="5133" width="15" customWidth="1"/>
    <col min="5134" max="5134" width="12.42578125" bestFit="1" customWidth="1"/>
    <col min="5136" max="5136" width="13.28515625" bestFit="1" customWidth="1"/>
    <col min="5377" max="5377" width="2.28515625" customWidth="1"/>
    <col min="5378" max="5378" width="21.42578125" bestFit="1" customWidth="1"/>
    <col min="5379" max="5379" width="13" bestFit="1" customWidth="1"/>
    <col min="5380" max="5380" width="16.28515625" bestFit="1" customWidth="1"/>
    <col min="5381" max="5381" width="12" bestFit="1" customWidth="1"/>
    <col min="5382" max="5382" width="2.28515625" customWidth="1"/>
    <col min="5383" max="5383" width="1.7109375" customWidth="1"/>
    <col min="5384" max="5384" width="21" customWidth="1"/>
    <col min="5385" max="5385" width="17.7109375" customWidth="1"/>
    <col min="5386" max="5386" width="14.42578125" customWidth="1"/>
    <col min="5387" max="5387" width="14.28515625" customWidth="1"/>
    <col min="5388" max="5388" width="18.28515625" customWidth="1"/>
    <col min="5389" max="5389" width="15" customWidth="1"/>
    <col min="5390" max="5390" width="12.42578125" bestFit="1" customWidth="1"/>
    <col min="5392" max="5392" width="13.28515625" bestFit="1" customWidth="1"/>
    <col min="5633" max="5633" width="2.28515625" customWidth="1"/>
    <col min="5634" max="5634" width="21.42578125" bestFit="1" customWidth="1"/>
    <col min="5635" max="5635" width="13" bestFit="1" customWidth="1"/>
    <col min="5636" max="5636" width="16.28515625" bestFit="1" customWidth="1"/>
    <col min="5637" max="5637" width="12" bestFit="1" customWidth="1"/>
    <col min="5638" max="5638" width="2.28515625" customWidth="1"/>
    <col min="5639" max="5639" width="1.7109375" customWidth="1"/>
    <col min="5640" max="5640" width="21" customWidth="1"/>
    <col min="5641" max="5641" width="17.7109375" customWidth="1"/>
    <col min="5642" max="5642" width="14.42578125" customWidth="1"/>
    <col min="5643" max="5643" width="14.28515625" customWidth="1"/>
    <col min="5644" max="5644" width="18.28515625" customWidth="1"/>
    <col min="5645" max="5645" width="15" customWidth="1"/>
    <col min="5646" max="5646" width="12.42578125" bestFit="1" customWidth="1"/>
    <col min="5648" max="5648" width="13.28515625" bestFit="1" customWidth="1"/>
    <col min="5889" max="5889" width="2.28515625" customWidth="1"/>
    <col min="5890" max="5890" width="21.42578125" bestFit="1" customWidth="1"/>
    <col min="5891" max="5891" width="13" bestFit="1" customWidth="1"/>
    <col min="5892" max="5892" width="16.28515625" bestFit="1" customWidth="1"/>
    <col min="5893" max="5893" width="12" bestFit="1" customWidth="1"/>
    <col min="5894" max="5894" width="2.28515625" customWidth="1"/>
    <col min="5895" max="5895" width="1.7109375" customWidth="1"/>
    <col min="5896" max="5896" width="21" customWidth="1"/>
    <col min="5897" max="5897" width="17.7109375" customWidth="1"/>
    <col min="5898" max="5898" width="14.42578125" customWidth="1"/>
    <col min="5899" max="5899" width="14.28515625" customWidth="1"/>
    <col min="5900" max="5900" width="18.28515625" customWidth="1"/>
    <col min="5901" max="5901" width="15" customWidth="1"/>
    <col min="5902" max="5902" width="12.42578125" bestFit="1" customWidth="1"/>
    <col min="5904" max="5904" width="13.28515625" bestFit="1" customWidth="1"/>
    <col min="6145" max="6145" width="2.28515625" customWidth="1"/>
    <col min="6146" max="6146" width="21.42578125" bestFit="1" customWidth="1"/>
    <col min="6147" max="6147" width="13" bestFit="1" customWidth="1"/>
    <col min="6148" max="6148" width="16.28515625" bestFit="1" customWidth="1"/>
    <col min="6149" max="6149" width="12" bestFit="1" customWidth="1"/>
    <col min="6150" max="6150" width="2.28515625" customWidth="1"/>
    <col min="6151" max="6151" width="1.7109375" customWidth="1"/>
    <col min="6152" max="6152" width="21" customWidth="1"/>
    <col min="6153" max="6153" width="17.7109375" customWidth="1"/>
    <col min="6154" max="6154" width="14.42578125" customWidth="1"/>
    <col min="6155" max="6155" width="14.28515625" customWidth="1"/>
    <col min="6156" max="6156" width="18.28515625" customWidth="1"/>
    <col min="6157" max="6157" width="15" customWidth="1"/>
    <col min="6158" max="6158" width="12.42578125" bestFit="1" customWidth="1"/>
    <col min="6160" max="6160" width="13.28515625" bestFit="1" customWidth="1"/>
    <col min="6401" max="6401" width="2.28515625" customWidth="1"/>
    <col min="6402" max="6402" width="21.42578125" bestFit="1" customWidth="1"/>
    <col min="6403" max="6403" width="13" bestFit="1" customWidth="1"/>
    <col min="6404" max="6404" width="16.28515625" bestFit="1" customWidth="1"/>
    <col min="6405" max="6405" width="12" bestFit="1" customWidth="1"/>
    <col min="6406" max="6406" width="2.28515625" customWidth="1"/>
    <col min="6407" max="6407" width="1.7109375" customWidth="1"/>
    <col min="6408" max="6408" width="21" customWidth="1"/>
    <col min="6409" max="6409" width="17.7109375" customWidth="1"/>
    <col min="6410" max="6410" width="14.42578125" customWidth="1"/>
    <col min="6411" max="6411" width="14.28515625" customWidth="1"/>
    <col min="6412" max="6412" width="18.28515625" customWidth="1"/>
    <col min="6413" max="6413" width="15" customWidth="1"/>
    <col min="6414" max="6414" width="12.42578125" bestFit="1" customWidth="1"/>
    <col min="6416" max="6416" width="13.28515625" bestFit="1" customWidth="1"/>
    <col min="6657" max="6657" width="2.28515625" customWidth="1"/>
    <col min="6658" max="6658" width="21.42578125" bestFit="1" customWidth="1"/>
    <col min="6659" max="6659" width="13" bestFit="1" customWidth="1"/>
    <col min="6660" max="6660" width="16.28515625" bestFit="1" customWidth="1"/>
    <col min="6661" max="6661" width="12" bestFit="1" customWidth="1"/>
    <col min="6662" max="6662" width="2.28515625" customWidth="1"/>
    <col min="6663" max="6663" width="1.7109375" customWidth="1"/>
    <col min="6664" max="6664" width="21" customWidth="1"/>
    <col min="6665" max="6665" width="17.7109375" customWidth="1"/>
    <col min="6666" max="6666" width="14.42578125" customWidth="1"/>
    <col min="6667" max="6667" width="14.28515625" customWidth="1"/>
    <col min="6668" max="6668" width="18.28515625" customWidth="1"/>
    <col min="6669" max="6669" width="15" customWidth="1"/>
    <col min="6670" max="6670" width="12.42578125" bestFit="1" customWidth="1"/>
    <col min="6672" max="6672" width="13.28515625" bestFit="1" customWidth="1"/>
    <col min="6913" max="6913" width="2.28515625" customWidth="1"/>
    <col min="6914" max="6914" width="21.42578125" bestFit="1" customWidth="1"/>
    <col min="6915" max="6915" width="13" bestFit="1" customWidth="1"/>
    <col min="6916" max="6916" width="16.28515625" bestFit="1" customWidth="1"/>
    <col min="6917" max="6917" width="12" bestFit="1" customWidth="1"/>
    <col min="6918" max="6918" width="2.28515625" customWidth="1"/>
    <col min="6919" max="6919" width="1.7109375" customWidth="1"/>
    <col min="6920" max="6920" width="21" customWidth="1"/>
    <col min="6921" max="6921" width="17.7109375" customWidth="1"/>
    <col min="6922" max="6922" width="14.42578125" customWidth="1"/>
    <col min="6923" max="6923" width="14.28515625" customWidth="1"/>
    <col min="6924" max="6924" width="18.28515625" customWidth="1"/>
    <col min="6925" max="6925" width="15" customWidth="1"/>
    <col min="6926" max="6926" width="12.42578125" bestFit="1" customWidth="1"/>
    <col min="6928" max="6928" width="13.28515625" bestFit="1" customWidth="1"/>
    <col min="7169" max="7169" width="2.28515625" customWidth="1"/>
    <col min="7170" max="7170" width="21.42578125" bestFit="1" customWidth="1"/>
    <col min="7171" max="7171" width="13" bestFit="1" customWidth="1"/>
    <col min="7172" max="7172" width="16.28515625" bestFit="1" customWidth="1"/>
    <col min="7173" max="7173" width="12" bestFit="1" customWidth="1"/>
    <col min="7174" max="7174" width="2.28515625" customWidth="1"/>
    <col min="7175" max="7175" width="1.7109375" customWidth="1"/>
    <col min="7176" max="7176" width="21" customWidth="1"/>
    <col min="7177" max="7177" width="17.7109375" customWidth="1"/>
    <col min="7178" max="7178" width="14.42578125" customWidth="1"/>
    <col min="7179" max="7179" width="14.28515625" customWidth="1"/>
    <col min="7180" max="7180" width="18.28515625" customWidth="1"/>
    <col min="7181" max="7181" width="15" customWidth="1"/>
    <col min="7182" max="7182" width="12.42578125" bestFit="1" customWidth="1"/>
    <col min="7184" max="7184" width="13.28515625" bestFit="1" customWidth="1"/>
    <col min="7425" max="7425" width="2.28515625" customWidth="1"/>
    <col min="7426" max="7426" width="21.42578125" bestFit="1" customWidth="1"/>
    <col min="7427" max="7427" width="13" bestFit="1" customWidth="1"/>
    <col min="7428" max="7428" width="16.28515625" bestFit="1" customWidth="1"/>
    <col min="7429" max="7429" width="12" bestFit="1" customWidth="1"/>
    <col min="7430" max="7430" width="2.28515625" customWidth="1"/>
    <col min="7431" max="7431" width="1.7109375" customWidth="1"/>
    <col min="7432" max="7432" width="21" customWidth="1"/>
    <col min="7433" max="7433" width="17.7109375" customWidth="1"/>
    <col min="7434" max="7434" width="14.42578125" customWidth="1"/>
    <col min="7435" max="7435" width="14.28515625" customWidth="1"/>
    <col min="7436" max="7436" width="18.28515625" customWidth="1"/>
    <col min="7437" max="7437" width="15" customWidth="1"/>
    <col min="7438" max="7438" width="12.42578125" bestFit="1" customWidth="1"/>
    <col min="7440" max="7440" width="13.28515625" bestFit="1" customWidth="1"/>
    <col min="7681" max="7681" width="2.28515625" customWidth="1"/>
    <col min="7682" max="7682" width="21.42578125" bestFit="1" customWidth="1"/>
    <col min="7683" max="7683" width="13" bestFit="1" customWidth="1"/>
    <col min="7684" max="7684" width="16.28515625" bestFit="1" customWidth="1"/>
    <col min="7685" max="7685" width="12" bestFit="1" customWidth="1"/>
    <col min="7686" max="7686" width="2.28515625" customWidth="1"/>
    <col min="7687" max="7687" width="1.7109375" customWidth="1"/>
    <col min="7688" max="7688" width="21" customWidth="1"/>
    <col min="7689" max="7689" width="17.7109375" customWidth="1"/>
    <col min="7690" max="7690" width="14.42578125" customWidth="1"/>
    <col min="7691" max="7691" width="14.28515625" customWidth="1"/>
    <col min="7692" max="7692" width="18.28515625" customWidth="1"/>
    <col min="7693" max="7693" width="15" customWidth="1"/>
    <col min="7694" max="7694" width="12.42578125" bestFit="1" customWidth="1"/>
    <col min="7696" max="7696" width="13.28515625" bestFit="1" customWidth="1"/>
    <col min="7937" max="7937" width="2.28515625" customWidth="1"/>
    <col min="7938" max="7938" width="21.42578125" bestFit="1" customWidth="1"/>
    <col min="7939" max="7939" width="13" bestFit="1" customWidth="1"/>
    <col min="7940" max="7940" width="16.28515625" bestFit="1" customWidth="1"/>
    <col min="7941" max="7941" width="12" bestFit="1" customWidth="1"/>
    <col min="7942" max="7942" width="2.28515625" customWidth="1"/>
    <col min="7943" max="7943" width="1.7109375" customWidth="1"/>
    <col min="7944" max="7944" width="21" customWidth="1"/>
    <col min="7945" max="7945" width="17.7109375" customWidth="1"/>
    <col min="7946" max="7946" width="14.42578125" customWidth="1"/>
    <col min="7947" max="7947" width="14.28515625" customWidth="1"/>
    <col min="7948" max="7948" width="18.28515625" customWidth="1"/>
    <col min="7949" max="7949" width="15" customWidth="1"/>
    <col min="7950" max="7950" width="12.42578125" bestFit="1" customWidth="1"/>
    <col min="7952" max="7952" width="13.28515625" bestFit="1" customWidth="1"/>
    <col min="8193" max="8193" width="2.28515625" customWidth="1"/>
    <col min="8194" max="8194" width="21.42578125" bestFit="1" customWidth="1"/>
    <col min="8195" max="8195" width="13" bestFit="1" customWidth="1"/>
    <col min="8196" max="8196" width="16.28515625" bestFit="1" customWidth="1"/>
    <col min="8197" max="8197" width="12" bestFit="1" customWidth="1"/>
    <col min="8198" max="8198" width="2.28515625" customWidth="1"/>
    <col min="8199" max="8199" width="1.7109375" customWidth="1"/>
    <col min="8200" max="8200" width="21" customWidth="1"/>
    <col min="8201" max="8201" width="17.7109375" customWidth="1"/>
    <col min="8202" max="8202" width="14.42578125" customWidth="1"/>
    <col min="8203" max="8203" width="14.28515625" customWidth="1"/>
    <col min="8204" max="8204" width="18.28515625" customWidth="1"/>
    <col min="8205" max="8205" width="15" customWidth="1"/>
    <col min="8206" max="8206" width="12.42578125" bestFit="1" customWidth="1"/>
    <col min="8208" max="8208" width="13.28515625" bestFit="1" customWidth="1"/>
    <col min="8449" max="8449" width="2.28515625" customWidth="1"/>
    <col min="8450" max="8450" width="21.42578125" bestFit="1" customWidth="1"/>
    <col min="8451" max="8451" width="13" bestFit="1" customWidth="1"/>
    <col min="8452" max="8452" width="16.28515625" bestFit="1" customWidth="1"/>
    <col min="8453" max="8453" width="12" bestFit="1" customWidth="1"/>
    <col min="8454" max="8454" width="2.28515625" customWidth="1"/>
    <col min="8455" max="8455" width="1.7109375" customWidth="1"/>
    <col min="8456" max="8456" width="21" customWidth="1"/>
    <col min="8457" max="8457" width="17.7109375" customWidth="1"/>
    <col min="8458" max="8458" width="14.42578125" customWidth="1"/>
    <col min="8459" max="8459" width="14.28515625" customWidth="1"/>
    <col min="8460" max="8460" width="18.28515625" customWidth="1"/>
    <col min="8461" max="8461" width="15" customWidth="1"/>
    <col min="8462" max="8462" width="12.42578125" bestFit="1" customWidth="1"/>
    <col min="8464" max="8464" width="13.28515625" bestFit="1" customWidth="1"/>
    <col min="8705" max="8705" width="2.28515625" customWidth="1"/>
    <col min="8706" max="8706" width="21.42578125" bestFit="1" customWidth="1"/>
    <col min="8707" max="8707" width="13" bestFit="1" customWidth="1"/>
    <col min="8708" max="8708" width="16.28515625" bestFit="1" customWidth="1"/>
    <col min="8709" max="8709" width="12" bestFit="1" customWidth="1"/>
    <col min="8710" max="8710" width="2.28515625" customWidth="1"/>
    <col min="8711" max="8711" width="1.7109375" customWidth="1"/>
    <col min="8712" max="8712" width="21" customWidth="1"/>
    <col min="8713" max="8713" width="17.7109375" customWidth="1"/>
    <col min="8714" max="8714" width="14.42578125" customWidth="1"/>
    <col min="8715" max="8715" width="14.28515625" customWidth="1"/>
    <col min="8716" max="8716" width="18.28515625" customWidth="1"/>
    <col min="8717" max="8717" width="15" customWidth="1"/>
    <col min="8718" max="8718" width="12.42578125" bestFit="1" customWidth="1"/>
    <col min="8720" max="8720" width="13.28515625" bestFit="1" customWidth="1"/>
    <col min="8961" max="8961" width="2.28515625" customWidth="1"/>
    <col min="8962" max="8962" width="21.42578125" bestFit="1" customWidth="1"/>
    <col min="8963" max="8963" width="13" bestFit="1" customWidth="1"/>
    <col min="8964" max="8964" width="16.28515625" bestFit="1" customWidth="1"/>
    <col min="8965" max="8965" width="12" bestFit="1" customWidth="1"/>
    <col min="8966" max="8966" width="2.28515625" customWidth="1"/>
    <col min="8967" max="8967" width="1.7109375" customWidth="1"/>
    <col min="8968" max="8968" width="21" customWidth="1"/>
    <col min="8969" max="8969" width="17.7109375" customWidth="1"/>
    <col min="8970" max="8970" width="14.42578125" customWidth="1"/>
    <col min="8971" max="8971" width="14.28515625" customWidth="1"/>
    <col min="8972" max="8972" width="18.28515625" customWidth="1"/>
    <col min="8973" max="8973" width="15" customWidth="1"/>
    <col min="8974" max="8974" width="12.42578125" bestFit="1" customWidth="1"/>
    <col min="8976" max="8976" width="13.28515625" bestFit="1" customWidth="1"/>
    <col min="9217" max="9217" width="2.28515625" customWidth="1"/>
    <col min="9218" max="9218" width="21.42578125" bestFit="1" customWidth="1"/>
    <col min="9219" max="9219" width="13" bestFit="1" customWidth="1"/>
    <col min="9220" max="9220" width="16.28515625" bestFit="1" customWidth="1"/>
    <col min="9221" max="9221" width="12" bestFit="1" customWidth="1"/>
    <col min="9222" max="9222" width="2.28515625" customWidth="1"/>
    <col min="9223" max="9223" width="1.7109375" customWidth="1"/>
    <col min="9224" max="9224" width="21" customWidth="1"/>
    <col min="9225" max="9225" width="17.7109375" customWidth="1"/>
    <col min="9226" max="9226" width="14.42578125" customWidth="1"/>
    <col min="9227" max="9227" width="14.28515625" customWidth="1"/>
    <col min="9228" max="9228" width="18.28515625" customWidth="1"/>
    <col min="9229" max="9229" width="15" customWidth="1"/>
    <col min="9230" max="9230" width="12.42578125" bestFit="1" customWidth="1"/>
    <col min="9232" max="9232" width="13.28515625" bestFit="1" customWidth="1"/>
    <col min="9473" max="9473" width="2.28515625" customWidth="1"/>
    <col min="9474" max="9474" width="21.42578125" bestFit="1" customWidth="1"/>
    <col min="9475" max="9475" width="13" bestFit="1" customWidth="1"/>
    <col min="9476" max="9476" width="16.28515625" bestFit="1" customWidth="1"/>
    <col min="9477" max="9477" width="12" bestFit="1" customWidth="1"/>
    <col min="9478" max="9478" width="2.28515625" customWidth="1"/>
    <col min="9479" max="9479" width="1.7109375" customWidth="1"/>
    <col min="9480" max="9480" width="21" customWidth="1"/>
    <col min="9481" max="9481" width="17.7109375" customWidth="1"/>
    <col min="9482" max="9482" width="14.42578125" customWidth="1"/>
    <col min="9483" max="9483" width="14.28515625" customWidth="1"/>
    <col min="9484" max="9484" width="18.28515625" customWidth="1"/>
    <col min="9485" max="9485" width="15" customWidth="1"/>
    <col min="9486" max="9486" width="12.42578125" bestFit="1" customWidth="1"/>
    <col min="9488" max="9488" width="13.28515625" bestFit="1" customWidth="1"/>
    <col min="9729" max="9729" width="2.28515625" customWidth="1"/>
    <col min="9730" max="9730" width="21.42578125" bestFit="1" customWidth="1"/>
    <col min="9731" max="9731" width="13" bestFit="1" customWidth="1"/>
    <col min="9732" max="9732" width="16.28515625" bestFit="1" customWidth="1"/>
    <col min="9733" max="9733" width="12" bestFit="1" customWidth="1"/>
    <col min="9734" max="9734" width="2.28515625" customWidth="1"/>
    <col min="9735" max="9735" width="1.7109375" customWidth="1"/>
    <col min="9736" max="9736" width="21" customWidth="1"/>
    <col min="9737" max="9737" width="17.7109375" customWidth="1"/>
    <col min="9738" max="9738" width="14.42578125" customWidth="1"/>
    <col min="9739" max="9739" width="14.28515625" customWidth="1"/>
    <col min="9740" max="9740" width="18.28515625" customWidth="1"/>
    <col min="9741" max="9741" width="15" customWidth="1"/>
    <col min="9742" max="9742" width="12.42578125" bestFit="1" customWidth="1"/>
    <col min="9744" max="9744" width="13.28515625" bestFit="1" customWidth="1"/>
    <col min="9985" max="9985" width="2.28515625" customWidth="1"/>
    <col min="9986" max="9986" width="21.42578125" bestFit="1" customWidth="1"/>
    <col min="9987" max="9987" width="13" bestFit="1" customWidth="1"/>
    <col min="9988" max="9988" width="16.28515625" bestFit="1" customWidth="1"/>
    <col min="9989" max="9989" width="12" bestFit="1" customWidth="1"/>
    <col min="9990" max="9990" width="2.28515625" customWidth="1"/>
    <col min="9991" max="9991" width="1.7109375" customWidth="1"/>
    <col min="9992" max="9992" width="21" customWidth="1"/>
    <col min="9993" max="9993" width="17.7109375" customWidth="1"/>
    <col min="9994" max="9994" width="14.42578125" customWidth="1"/>
    <col min="9995" max="9995" width="14.28515625" customWidth="1"/>
    <col min="9996" max="9996" width="18.28515625" customWidth="1"/>
    <col min="9997" max="9997" width="15" customWidth="1"/>
    <col min="9998" max="9998" width="12.42578125" bestFit="1" customWidth="1"/>
    <col min="10000" max="10000" width="13.28515625" bestFit="1" customWidth="1"/>
    <col min="10241" max="10241" width="2.28515625" customWidth="1"/>
    <col min="10242" max="10242" width="21.42578125" bestFit="1" customWidth="1"/>
    <col min="10243" max="10243" width="13" bestFit="1" customWidth="1"/>
    <col min="10244" max="10244" width="16.28515625" bestFit="1" customWidth="1"/>
    <col min="10245" max="10245" width="12" bestFit="1" customWidth="1"/>
    <col min="10246" max="10246" width="2.28515625" customWidth="1"/>
    <col min="10247" max="10247" width="1.7109375" customWidth="1"/>
    <col min="10248" max="10248" width="21" customWidth="1"/>
    <col min="10249" max="10249" width="17.7109375" customWidth="1"/>
    <col min="10250" max="10250" width="14.42578125" customWidth="1"/>
    <col min="10251" max="10251" width="14.28515625" customWidth="1"/>
    <col min="10252" max="10252" width="18.28515625" customWidth="1"/>
    <col min="10253" max="10253" width="15" customWidth="1"/>
    <col min="10254" max="10254" width="12.42578125" bestFit="1" customWidth="1"/>
    <col min="10256" max="10256" width="13.28515625" bestFit="1" customWidth="1"/>
    <col min="10497" max="10497" width="2.28515625" customWidth="1"/>
    <col min="10498" max="10498" width="21.42578125" bestFit="1" customWidth="1"/>
    <col min="10499" max="10499" width="13" bestFit="1" customWidth="1"/>
    <col min="10500" max="10500" width="16.28515625" bestFit="1" customWidth="1"/>
    <col min="10501" max="10501" width="12" bestFit="1" customWidth="1"/>
    <col min="10502" max="10502" width="2.28515625" customWidth="1"/>
    <col min="10503" max="10503" width="1.7109375" customWidth="1"/>
    <col min="10504" max="10504" width="21" customWidth="1"/>
    <col min="10505" max="10505" width="17.7109375" customWidth="1"/>
    <col min="10506" max="10506" width="14.42578125" customWidth="1"/>
    <col min="10507" max="10507" width="14.28515625" customWidth="1"/>
    <col min="10508" max="10508" width="18.28515625" customWidth="1"/>
    <col min="10509" max="10509" width="15" customWidth="1"/>
    <col min="10510" max="10510" width="12.42578125" bestFit="1" customWidth="1"/>
    <col min="10512" max="10512" width="13.28515625" bestFit="1" customWidth="1"/>
    <col min="10753" max="10753" width="2.28515625" customWidth="1"/>
    <col min="10754" max="10754" width="21.42578125" bestFit="1" customWidth="1"/>
    <col min="10755" max="10755" width="13" bestFit="1" customWidth="1"/>
    <col min="10756" max="10756" width="16.28515625" bestFit="1" customWidth="1"/>
    <col min="10757" max="10757" width="12" bestFit="1" customWidth="1"/>
    <col min="10758" max="10758" width="2.28515625" customWidth="1"/>
    <col min="10759" max="10759" width="1.7109375" customWidth="1"/>
    <col min="10760" max="10760" width="21" customWidth="1"/>
    <col min="10761" max="10761" width="17.7109375" customWidth="1"/>
    <col min="10762" max="10762" width="14.42578125" customWidth="1"/>
    <col min="10763" max="10763" width="14.28515625" customWidth="1"/>
    <col min="10764" max="10764" width="18.28515625" customWidth="1"/>
    <col min="10765" max="10765" width="15" customWidth="1"/>
    <col min="10766" max="10766" width="12.42578125" bestFit="1" customWidth="1"/>
    <col min="10768" max="10768" width="13.28515625" bestFit="1" customWidth="1"/>
    <col min="11009" max="11009" width="2.28515625" customWidth="1"/>
    <col min="11010" max="11010" width="21.42578125" bestFit="1" customWidth="1"/>
    <col min="11011" max="11011" width="13" bestFit="1" customWidth="1"/>
    <col min="11012" max="11012" width="16.28515625" bestFit="1" customWidth="1"/>
    <col min="11013" max="11013" width="12" bestFit="1" customWidth="1"/>
    <col min="11014" max="11014" width="2.28515625" customWidth="1"/>
    <col min="11015" max="11015" width="1.7109375" customWidth="1"/>
    <col min="11016" max="11016" width="21" customWidth="1"/>
    <col min="11017" max="11017" width="17.7109375" customWidth="1"/>
    <col min="11018" max="11018" width="14.42578125" customWidth="1"/>
    <col min="11019" max="11019" width="14.28515625" customWidth="1"/>
    <col min="11020" max="11020" width="18.28515625" customWidth="1"/>
    <col min="11021" max="11021" width="15" customWidth="1"/>
    <col min="11022" max="11022" width="12.42578125" bestFit="1" customWidth="1"/>
    <col min="11024" max="11024" width="13.28515625" bestFit="1" customWidth="1"/>
    <col min="11265" max="11265" width="2.28515625" customWidth="1"/>
    <col min="11266" max="11266" width="21.42578125" bestFit="1" customWidth="1"/>
    <col min="11267" max="11267" width="13" bestFit="1" customWidth="1"/>
    <col min="11268" max="11268" width="16.28515625" bestFit="1" customWidth="1"/>
    <col min="11269" max="11269" width="12" bestFit="1" customWidth="1"/>
    <col min="11270" max="11270" width="2.28515625" customWidth="1"/>
    <col min="11271" max="11271" width="1.7109375" customWidth="1"/>
    <col min="11272" max="11272" width="21" customWidth="1"/>
    <col min="11273" max="11273" width="17.7109375" customWidth="1"/>
    <col min="11274" max="11274" width="14.42578125" customWidth="1"/>
    <col min="11275" max="11275" width="14.28515625" customWidth="1"/>
    <col min="11276" max="11276" width="18.28515625" customWidth="1"/>
    <col min="11277" max="11277" width="15" customWidth="1"/>
    <col min="11278" max="11278" width="12.42578125" bestFit="1" customWidth="1"/>
    <col min="11280" max="11280" width="13.28515625" bestFit="1" customWidth="1"/>
    <col min="11521" max="11521" width="2.28515625" customWidth="1"/>
    <col min="11522" max="11522" width="21.42578125" bestFit="1" customWidth="1"/>
    <col min="11523" max="11523" width="13" bestFit="1" customWidth="1"/>
    <col min="11524" max="11524" width="16.28515625" bestFit="1" customWidth="1"/>
    <col min="11525" max="11525" width="12" bestFit="1" customWidth="1"/>
    <col min="11526" max="11526" width="2.28515625" customWidth="1"/>
    <col min="11527" max="11527" width="1.7109375" customWidth="1"/>
    <col min="11528" max="11528" width="21" customWidth="1"/>
    <col min="11529" max="11529" width="17.7109375" customWidth="1"/>
    <col min="11530" max="11530" width="14.42578125" customWidth="1"/>
    <col min="11531" max="11531" width="14.28515625" customWidth="1"/>
    <col min="11532" max="11532" width="18.28515625" customWidth="1"/>
    <col min="11533" max="11533" width="15" customWidth="1"/>
    <col min="11534" max="11534" width="12.42578125" bestFit="1" customWidth="1"/>
    <col min="11536" max="11536" width="13.28515625" bestFit="1" customWidth="1"/>
    <col min="11777" max="11777" width="2.28515625" customWidth="1"/>
    <col min="11778" max="11778" width="21.42578125" bestFit="1" customWidth="1"/>
    <col min="11779" max="11779" width="13" bestFit="1" customWidth="1"/>
    <col min="11780" max="11780" width="16.28515625" bestFit="1" customWidth="1"/>
    <col min="11781" max="11781" width="12" bestFit="1" customWidth="1"/>
    <col min="11782" max="11782" width="2.28515625" customWidth="1"/>
    <col min="11783" max="11783" width="1.7109375" customWidth="1"/>
    <col min="11784" max="11784" width="21" customWidth="1"/>
    <col min="11785" max="11785" width="17.7109375" customWidth="1"/>
    <col min="11786" max="11786" width="14.42578125" customWidth="1"/>
    <col min="11787" max="11787" width="14.28515625" customWidth="1"/>
    <col min="11788" max="11788" width="18.28515625" customWidth="1"/>
    <col min="11789" max="11789" width="15" customWidth="1"/>
    <col min="11790" max="11790" width="12.42578125" bestFit="1" customWidth="1"/>
    <col min="11792" max="11792" width="13.28515625" bestFit="1" customWidth="1"/>
    <col min="12033" max="12033" width="2.28515625" customWidth="1"/>
    <col min="12034" max="12034" width="21.42578125" bestFit="1" customWidth="1"/>
    <col min="12035" max="12035" width="13" bestFit="1" customWidth="1"/>
    <col min="12036" max="12036" width="16.28515625" bestFit="1" customWidth="1"/>
    <col min="12037" max="12037" width="12" bestFit="1" customWidth="1"/>
    <col min="12038" max="12038" width="2.28515625" customWidth="1"/>
    <col min="12039" max="12039" width="1.7109375" customWidth="1"/>
    <col min="12040" max="12040" width="21" customWidth="1"/>
    <col min="12041" max="12041" width="17.7109375" customWidth="1"/>
    <col min="12042" max="12042" width="14.42578125" customWidth="1"/>
    <col min="12043" max="12043" width="14.28515625" customWidth="1"/>
    <col min="12044" max="12044" width="18.28515625" customWidth="1"/>
    <col min="12045" max="12045" width="15" customWidth="1"/>
    <col min="12046" max="12046" width="12.42578125" bestFit="1" customWidth="1"/>
    <col min="12048" max="12048" width="13.28515625" bestFit="1" customWidth="1"/>
    <col min="12289" max="12289" width="2.28515625" customWidth="1"/>
    <col min="12290" max="12290" width="21.42578125" bestFit="1" customWidth="1"/>
    <col min="12291" max="12291" width="13" bestFit="1" customWidth="1"/>
    <col min="12292" max="12292" width="16.28515625" bestFit="1" customWidth="1"/>
    <col min="12293" max="12293" width="12" bestFit="1" customWidth="1"/>
    <col min="12294" max="12294" width="2.28515625" customWidth="1"/>
    <col min="12295" max="12295" width="1.7109375" customWidth="1"/>
    <col min="12296" max="12296" width="21" customWidth="1"/>
    <col min="12297" max="12297" width="17.7109375" customWidth="1"/>
    <col min="12298" max="12298" width="14.42578125" customWidth="1"/>
    <col min="12299" max="12299" width="14.28515625" customWidth="1"/>
    <col min="12300" max="12300" width="18.28515625" customWidth="1"/>
    <col min="12301" max="12301" width="15" customWidth="1"/>
    <col min="12302" max="12302" width="12.42578125" bestFit="1" customWidth="1"/>
    <col min="12304" max="12304" width="13.28515625" bestFit="1" customWidth="1"/>
    <col min="12545" max="12545" width="2.28515625" customWidth="1"/>
    <col min="12546" max="12546" width="21.42578125" bestFit="1" customWidth="1"/>
    <col min="12547" max="12547" width="13" bestFit="1" customWidth="1"/>
    <col min="12548" max="12548" width="16.28515625" bestFit="1" customWidth="1"/>
    <col min="12549" max="12549" width="12" bestFit="1" customWidth="1"/>
    <col min="12550" max="12550" width="2.28515625" customWidth="1"/>
    <col min="12551" max="12551" width="1.7109375" customWidth="1"/>
    <col min="12552" max="12552" width="21" customWidth="1"/>
    <col min="12553" max="12553" width="17.7109375" customWidth="1"/>
    <col min="12554" max="12554" width="14.42578125" customWidth="1"/>
    <col min="12555" max="12555" width="14.28515625" customWidth="1"/>
    <col min="12556" max="12556" width="18.28515625" customWidth="1"/>
    <col min="12557" max="12557" width="15" customWidth="1"/>
    <col min="12558" max="12558" width="12.42578125" bestFit="1" customWidth="1"/>
    <col min="12560" max="12560" width="13.28515625" bestFit="1" customWidth="1"/>
    <col min="12801" max="12801" width="2.28515625" customWidth="1"/>
    <col min="12802" max="12802" width="21.42578125" bestFit="1" customWidth="1"/>
    <col min="12803" max="12803" width="13" bestFit="1" customWidth="1"/>
    <col min="12804" max="12804" width="16.28515625" bestFit="1" customWidth="1"/>
    <col min="12805" max="12805" width="12" bestFit="1" customWidth="1"/>
    <col min="12806" max="12806" width="2.28515625" customWidth="1"/>
    <col min="12807" max="12807" width="1.7109375" customWidth="1"/>
    <col min="12808" max="12808" width="21" customWidth="1"/>
    <col min="12809" max="12809" width="17.7109375" customWidth="1"/>
    <col min="12810" max="12810" width="14.42578125" customWidth="1"/>
    <col min="12811" max="12811" width="14.28515625" customWidth="1"/>
    <col min="12812" max="12812" width="18.28515625" customWidth="1"/>
    <col min="12813" max="12813" width="15" customWidth="1"/>
    <col min="12814" max="12814" width="12.42578125" bestFit="1" customWidth="1"/>
    <col min="12816" max="12816" width="13.28515625" bestFit="1" customWidth="1"/>
    <col min="13057" max="13057" width="2.28515625" customWidth="1"/>
    <col min="13058" max="13058" width="21.42578125" bestFit="1" customWidth="1"/>
    <col min="13059" max="13059" width="13" bestFit="1" customWidth="1"/>
    <col min="13060" max="13060" width="16.28515625" bestFit="1" customWidth="1"/>
    <col min="13061" max="13061" width="12" bestFit="1" customWidth="1"/>
    <col min="13062" max="13062" width="2.28515625" customWidth="1"/>
    <col min="13063" max="13063" width="1.7109375" customWidth="1"/>
    <col min="13064" max="13064" width="21" customWidth="1"/>
    <col min="13065" max="13065" width="17.7109375" customWidth="1"/>
    <col min="13066" max="13066" width="14.42578125" customWidth="1"/>
    <col min="13067" max="13067" width="14.28515625" customWidth="1"/>
    <col min="13068" max="13068" width="18.28515625" customWidth="1"/>
    <col min="13069" max="13069" width="15" customWidth="1"/>
    <col min="13070" max="13070" width="12.42578125" bestFit="1" customWidth="1"/>
    <col min="13072" max="13072" width="13.28515625" bestFit="1" customWidth="1"/>
    <col min="13313" max="13313" width="2.28515625" customWidth="1"/>
    <col min="13314" max="13314" width="21.42578125" bestFit="1" customWidth="1"/>
    <col min="13315" max="13315" width="13" bestFit="1" customWidth="1"/>
    <col min="13316" max="13316" width="16.28515625" bestFit="1" customWidth="1"/>
    <col min="13317" max="13317" width="12" bestFit="1" customWidth="1"/>
    <col min="13318" max="13318" width="2.28515625" customWidth="1"/>
    <col min="13319" max="13319" width="1.7109375" customWidth="1"/>
    <col min="13320" max="13320" width="21" customWidth="1"/>
    <col min="13321" max="13321" width="17.7109375" customWidth="1"/>
    <col min="13322" max="13322" width="14.42578125" customWidth="1"/>
    <col min="13323" max="13323" width="14.28515625" customWidth="1"/>
    <col min="13324" max="13324" width="18.28515625" customWidth="1"/>
    <col min="13325" max="13325" width="15" customWidth="1"/>
    <col min="13326" max="13326" width="12.42578125" bestFit="1" customWidth="1"/>
    <col min="13328" max="13328" width="13.28515625" bestFit="1" customWidth="1"/>
    <col min="13569" max="13569" width="2.28515625" customWidth="1"/>
    <col min="13570" max="13570" width="21.42578125" bestFit="1" customWidth="1"/>
    <col min="13571" max="13571" width="13" bestFit="1" customWidth="1"/>
    <col min="13572" max="13572" width="16.28515625" bestFit="1" customWidth="1"/>
    <col min="13573" max="13573" width="12" bestFit="1" customWidth="1"/>
    <col min="13574" max="13574" width="2.28515625" customWidth="1"/>
    <col min="13575" max="13575" width="1.7109375" customWidth="1"/>
    <col min="13576" max="13576" width="21" customWidth="1"/>
    <col min="13577" max="13577" width="17.7109375" customWidth="1"/>
    <col min="13578" max="13578" width="14.42578125" customWidth="1"/>
    <col min="13579" max="13579" width="14.28515625" customWidth="1"/>
    <col min="13580" max="13580" width="18.28515625" customWidth="1"/>
    <col min="13581" max="13581" width="15" customWidth="1"/>
    <col min="13582" max="13582" width="12.42578125" bestFit="1" customWidth="1"/>
    <col min="13584" max="13584" width="13.28515625" bestFit="1" customWidth="1"/>
    <col min="13825" max="13825" width="2.28515625" customWidth="1"/>
    <col min="13826" max="13826" width="21.42578125" bestFit="1" customWidth="1"/>
    <col min="13827" max="13827" width="13" bestFit="1" customWidth="1"/>
    <col min="13828" max="13828" width="16.28515625" bestFit="1" customWidth="1"/>
    <col min="13829" max="13829" width="12" bestFit="1" customWidth="1"/>
    <col min="13830" max="13830" width="2.28515625" customWidth="1"/>
    <col min="13831" max="13831" width="1.7109375" customWidth="1"/>
    <col min="13832" max="13832" width="21" customWidth="1"/>
    <col min="13833" max="13833" width="17.7109375" customWidth="1"/>
    <col min="13834" max="13834" width="14.42578125" customWidth="1"/>
    <col min="13835" max="13835" width="14.28515625" customWidth="1"/>
    <col min="13836" max="13836" width="18.28515625" customWidth="1"/>
    <col min="13837" max="13837" width="15" customWidth="1"/>
    <col min="13838" max="13838" width="12.42578125" bestFit="1" customWidth="1"/>
    <col min="13840" max="13840" width="13.28515625" bestFit="1" customWidth="1"/>
    <col min="14081" max="14081" width="2.28515625" customWidth="1"/>
    <col min="14082" max="14082" width="21.42578125" bestFit="1" customWidth="1"/>
    <col min="14083" max="14083" width="13" bestFit="1" customWidth="1"/>
    <col min="14084" max="14084" width="16.28515625" bestFit="1" customWidth="1"/>
    <col min="14085" max="14085" width="12" bestFit="1" customWidth="1"/>
    <col min="14086" max="14086" width="2.28515625" customWidth="1"/>
    <col min="14087" max="14087" width="1.7109375" customWidth="1"/>
    <col min="14088" max="14088" width="21" customWidth="1"/>
    <col min="14089" max="14089" width="17.7109375" customWidth="1"/>
    <col min="14090" max="14090" width="14.42578125" customWidth="1"/>
    <col min="14091" max="14091" width="14.28515625" customWidth="1"/>
    <col min="14092" max="14092" width="18.28515625" customWidth="1"/>
    <col min="14093" max="14093" width="15" customWidth="1"/>
    <col min="14094" max="14094" width="12.42578125" bestFit="1" customWidth="1"/>
    <col min="14096" max="14096" width="13.28515625" bestFit="1" customWidth="1"/>
    <col min="14337" max="14337" width="2.28515625" customWidth="1"/>
    <col min="14338" max="14338" width="21.42578125" bestFit="1" customWidth="1"/>
    <col min="14339" max="14339" width="13" bestFit="1" customWidth="1"/>
    <col min="14340" max="14340" width="16.28515625" bestFit="1" customWidth="1"/>
    <col min="14341" max="14341" width="12" bestFit="1" customWidth="1"/>
    <col min="14342" max="14342" width="2.28515625" customWidth="1"/>
    <col min="14343" max="14343" width="1.7109375" customWidth="1"/>
    <col min="14344" max="14344" width="21" customWidth="1"/>
    <col min="14345" max="14345" width="17.7109375" customWidth="1"/>
    <col min="14346" max="14346" width="14.42578125" customWidth="1"/>
    <col min="14347" max="14347" width="14.28515625" customWidth="1"/>
    <col min="14348" max="14348" width="18.28515625" customWidth="1"/>
    <col min="14349" max="14349" width="15" customWidth="1"/>
    <col min="14350" max="14350" width="12.42578125" bestFit="1" customWidth="1"/>
    <col min="14352" max="14352" width="13.28515625" bestFit="1" customWidth="1"/>
    <col min="14593" max="14593" width="2.28515625" customWidth="1"/>
    <col min="14594" max="14594" width="21.42578125" bestFit="1" customWidth="1"/>
    <col min="14595" max="14595" width="13" bestFit="1" customWidth="1"/>
    <col min="14596" max="14596" width="16.28515625" bestFit="1" customWidth="1"/>
    <col min="14597" max="14597" width="12" bestFit="1" customWidth="1"/>
    <col min="14598" max="14598" width="2.28515625" customWidth="1"/>
    <col min="14599" max="14599" width="1.7109375" customWidth="1"/>
    <col min="14600" max="14600" width="21" customWidth="1"/>
    <col min="14601" max="14601" width="17.7109375" customWidth="1"/>
    <col min="14602" max="14602" width="14.42578125" customWidth="1"/>
    <col min="14603" max="14603" width="14.28515625" customWidth="1"/>
    <col min="14604" max="14604" width="18.28515625" customWidth="1"/>
    <col min="14605" max="14605" width="15" customWidth="1"/>
    <col min="14606" max="14606" width="12.42578125" bestFit="1" customWidth="1"/>
    <col min="14608" max="14608" width="13.28515625" bestFit="1" customWidth="1"/>
    <col min="14849" max="14849" width="2.28515625" customWidth="1"/>
    <col min="14850" max="14850" width="21.42578125" bestFit="1" customWidth="1"/>
    <col min="14851" max="14851" width="13" bestFit="1" customWidth="1"/>
    <col min="14852" max="14852" width="16.28515625" bestFit="1" customWidth="1"/>
    <col min="14853" max="14853" width="12" bestFit="1" customWidth="1"/>
    <col min="14854" max="14854" width="2.28515625" customWidth="1"/>
    <col min="14855" max="14855" width="1.7109375" customWidth="1"/>
    <col min="14856" max="14856" width="21" customWidth="1"/>
    <col min="14857" max="14857" width="17.7109375" customWidth="1"/>
    <col min="14858" max="14858" width="14.42578125" customWidth="1"/>
    <col min="14859" max="14859" width="14.28515625" customWidth="1"/>
    <col min="14860" max="14860" width="18.28515625" customWidth="1"/>
    <col min="14861" max="14861" width="15" customWidth="1"/>
    <col min="14862" max="14862" width="12.42578125" bestFit="1" customWidth="1"/>
    <col min="14864" max="14864" width="13.28515625" bestFit="1" customWidth="1"/>
    <col min="15105" max="15105" width="2.28515625" customWidth="1"/>
    <col min="15106" max="15106" width="21.42578125" bestFit="1" customWidth="1"/>
    <col min="15107" max="15107" width="13" bestFit="1" customWidth="1"/>
    <col min="15108" max="15108" width="16.28515625" bestFit="1" customWidth="1"/>
    <col min="15109" max="15109" width="12" bestFit="1" customWidth="1"/>
    <col min="15110" max="15110" width="2.28515625" customWidth="1"/>
    <col min="15111" max="15111" width="1.7109375" customWidth="1"/>
    <col min="15112" max="15112" width="21" customWidth="1"/>
    <col min="15113" max="15113" width="17.7109375" customWidth="1"/>
    <col min="15114" max="15114" width="14.42578125" customWidth="1"/>
    <col min="15115" max="15115" width="14.28515625" customWidth="1"/>
    <col min="15116" max="15116" width="18.28515625" customWidth="1"/>
    <col min="15117" max="15117" width="15" customWidth="1"/>
    <col min="15118" max="15118" width="12.42578125" bestFit="1" customWidth="1"/>
    <col min="15120" max="15120" width="13.28515625" bestFit="1" customWidth="1"/>
    <col min="15361" max="15361" width="2.28515625" customWidth="1"/>
    <col min="15362" max="15362" width="21.42578125" bestFit="1" customWidth="1"/>
    <col min="15363" max="15363" width="13" bestFit="1" customWidth="1"/>
    <col min="15364" max="15364" width="16.28515625" bestFit="1" customWidth="1"/>
    <col min="15365" max="15365" width="12" bestFit="1" customWidth="1"/>
    <col min="15366" max="15366" width="2.28515625" customWidth="1"/>
    <col min="15367" max="15367" width="1.7109375" customWidth="1"/>
    <col min="15368" max="15368" width="21" customWidth="1"/>
    <col min="15369" max="15369" width="17.7109375" customWidth="1"/>
    <col min="15370" max="15370" width="14.42578125" customWidth="1"/>
    <col min="15371" max="15371" width="14.28515625" customWidth="1"/>
    <col min="15372" max="15372" width="18.28515625" customWidth="1"/>
    <col min="15373" max="15373" width="15" customWidth="1"/>
    <col min="15374" max="15374" width="12.42578125" bestFit="1" customWidth="1"/>
    <col min="15376" max="15376" width="13.28515625" bestFit="1" customWidth="1"/>
    <col min="15617" max="15617" width="2.28515625" customWidth="1"/>
    <col min="15618" max="15618" width="21.42578125" bestFit="1" customWidth="1"/>
    <col min="15619" max="15619" width="13" bestFit="1" customWidth="1"/>
    <col min="15620" max="15620" width="16.28515625" bestFit="1" customWidth="1"/>
    <col min="15621" max="15621" width="12" bestFit="1" customWidth="1"/>
    <col min="15622" max="15622" width="2.28515625" customWidth="1"/>
    <col min="15623" max="15623" width="1.7109375" customWidth="1"/>
    <col min="15624" max="15624" width="21" customWidth="1"/>
    <col min="15625" max="15625" width="17.7109375" customWidth="1"/>
    <col min="15626" max="15626" width="14.42578125" customWidth="1"/>
    <col min="15627" max="15627" width="14.28515625" customWidth="1"/>
    <col min="15628" max="15628" width="18.28515625" customWidth="1"/>
    <col min="15629" max="15629" width="15" customWidth="1"/>
    <col min="15630" max="15630" width="12.42578125" bestFit="1" customWidth="1"/>
    <col min="15632" max="15632" width="13.28515625" bestFit="1" customWidth="1"/>
    <col min="15873" max="15873" width="2.28515625" customWidth="1"/>
    <col min="15874" max="15874" width="21.42578125" bestFit="1" customWidth="1"/>
    <col min="15875" max="15875" width="13" bestFit="1" customWidth="1"/>
    <col min="15876" max="15876" width="16.28515625" bestFit="1" customWidth="1"/>
    <col min="15877" max="15877" width="12" bestFit="1" customWidth="1"/>
    <col min="15878" max="15878" width="2.28515625" customWidth="1"/>
    <col min="15879" max="15879" width="1.7109375" customWidth="1"/>
    <col min="15880" max="15880" width="21" customWidth="1"/>
    <col min="15881" max="15881" width="17.7109375" customWidth="1"/>
    <col min="15882" max="15882" width="14.42578125" customWidth="1"/>
    <col min="15883" max="15883" width="14.28515625" customWidth="1"/>
    <col min="15884" max="15884" width="18.28515625" customWidth="1"/>
    <col min="15885" max="15885" width="15" customWidth="1"/>
    <col min="15886" max="15886" width="12.42578125" bestFit="1" customWidth="1"/>
    <col min="15888" max="15888" width="13.28515625" bestFit="1" customWidth="1"/>
    <col min="16129" max="16129" width="2.28515625" customWidth="1"/>
    <col min="16130" max="16130" width="21.42578125" bestFit="1" customWidth="1"/>
    <col min="16131" max="16131" width="13" bestFit="1" customWidth="1"/>
    <col min="16132" max="16132" width="16.28515625" bestFit="1" customWidth="1"/>
    <col min="16133" max="16133" width="12" bestFit="1" customWidth="1"/>
    <col min="16134" max="16134" width="2.28515625" customWidth="1"/>
    <col min="16135" max="16135" width="1.7109375" customWidth="1"/>
    <col min="16136" max="16136" width="21" customWidth="1"/>
    <col min="16137" max="16137" width="17.7109375" customWidth="1"/>
    <col min="16138" max="16138" width="14.42578125" customWidth="1"/>
    <col min="16139" max="16139" width="14.28515625" customWidth="1"/>
    <col min="16140" max="16140" width="18.28515625" customWidth="1"/>
    <col min="16141" max="16141" width="15" customWidth="1"/>
    <col min="16142" max="16142" width="12.42578125" bestFit="1" customWidth="1"/>
    <col min="16144" max="16144" width="13.28515625" bestFit="1" customWidth="1"/>
  </cols>
  <sheetData>
    <row r="1" spans="2:14">
      <c r="B1" s="1" t="str">
        <f>+J10</f>
        <v>JULIO</v>
      </c>
      <c r="C1" s="2" t="str">
        <f>+CONCATENATE(B1," ",D1)</f>
        <v>JULIO 2022</v>
      </c>
      <c r="D1">
        <f>+'Impto Unico'!C1</f>
        <v>2022</v>
      </c>
    </row>
    <row r="3" spans="2:14">
      <c r="B3" s="4" t="s">
        <v>1</v>
      </c>
      <c r="C3" s="5">
        <v>30</v>
      </c>
      <c r="D3" t="s">
        <v>93</v>
      </c>
      <c r="E3" s="3">
        <v>512758</v>
      </c>
      <c r="G3" s="6"/>
      <c r="I3" s="7" t="s">
        <v>2</v>
      </c>
      <c r="J3" s="8" t="s">
        <v>3</v>
      </c>
      <c r="K3" s="7" t="s">
        <v>4</v>
      </c>
      <c r="L3" s="7" t="s">
        <v>5</v>
      </c>
      <c r="M3" s="8" t="s">
        <v>6</v>
      </c>
      <c r="N3" s="7" t="s">
        <v>7</v>
      </c>
    </row>
    <row r="4" spans="2:14">
      <c r="B4" s="4" t="s">
        <v>8</v>
      </c>
      <c r="C4" s="9">
        <v>0</v>
      </c>
      <c r="D4" t="s">
        <v>96</v>
      </c>
      <c r="E4" s="73">
        <v>0</v>
      </c>
      <c r="G4" s="6"/>
      <c r="I4" s="4"/>
      <c r="J4" s="7">
        <v>81.599999999999994</v>
      </c>
      <c r="K4" s="7">
        <v>122.6</v>
      </c>
      <c r="L4" s="7">
        <f>+J4</f>
        <v>81.599999999999994</v>
      </c>
      <c r="M4" s="142"/>
      <c r="N4" s="4"/>
    </row>
    <row r="5" spans="2:14">
      <c r="B5" s="4" t="s">
        <v>9</v>
      </c>
      <c r="C5" s="10" t="s">
        <v>10</v>
      </c>
      <c r="E5" s="3">
        <f>+ROUND(E4*I6,0)</f>
        <v>0</v>
      </c>
      <c r="G5" s="6"/>
      <c r="I5" s="4"/>
      <c r="J5" s="4"/>
      <c r="K5" s="4"/>
      <c r="L5" s="11">
        <f>L4*7%</f>
        <v>5.7119999999999997</v>
      </c>
      <c r="M5" s="143">
        <f>(C8+C12+C11)*25%</f>
        <v>140689.5</v>
      </c>
      <c r="N5" s="4"/>
    </row>
    <row r="6" spans="2:14">
      <c r="B6" s="4" t="s">
        <v>11</v>
      </c>
      <c r="C6" s="12" t="s">
        <v>120</v>
      </c>
      <c r="D6" s="82">
        <v>7.0000000000000007E-2</v>
      </c>
      <c r="E6" s="3">
        <f>+C19*D6</f>
        <v>49241.325000000004</v>
      </c>
      <c r="G6" s="6"/>
      <c r="I6" s="13">
        <f>+'Impto Unico'!L2</f>
        <v>33417.26</v>
      </c>
      <c r="J6" s="14">
        <f>+J4*$I$6</f>
        <v>2726848.4160000002</v>
      </c>
      <c r="K6" s="14">
        <f>K4*$I$6</f>
        <v>4096956.0759999999</v>
      </c>
      <c r="L6" s="15">
        <f>L5*I6</f>
        <v>190879.38912000001</v>
      </c>
      <c r="M6" s="14">
        <f>(380000*4.75)*(1/12)</f>
        <v>150416.66666666666</v>
      </c>
      <c r="N6" s="16">
        <f>C19-E8-IF((E9+E10)&lt;L6,(E9+E10),L6)-E12-E15-E16</f>
        <v>570706.5</v>
      </c>
    </row>
    <row r="7" spans="2:14" ht="15.75" thickBot="1">
      <c r="C7" s="17"/>
      <c r="D7" s="18"/>
      <c r="G7" s="6"/>
      <c r="I7" s="19"/>
      <c r="J7" s="20"/>
      <c r="K7" s="20"/>
      <c r="L7" s="21"/>
      <c r="M7" s="20"/>
      <c r="N7" s="17"/>
    </row>
    <row r="8" spans="2:14">
      <c r="B8" s="22" t="s">
        <v>13</v>
      </c>
      <c r="C8" s="131">
        <v>512758</v>
      </c>
      <c r="D8" s="22" t="s">
        <v>121</v>
      </c>
      <c r="E8" s="23">
        <f>ROUND(IF(C19&lt;J6,C19*J23,J6*J23),0)</f>
        <v>79279</v>
      </c>
      <c r="I8" s="74"/>
    </row>
    <row r="9" spans="2:14">
      <c r="B9" s="24" t="s">
        <v>14</v>
      </c>
      <c r="C9" s="17">
        <f>IF(M5&lt;M6,M5,M6)</f>
        <v>140689.5</v>
      </c>
      <c r="D9" s="24" t="str">
        <f>D4</f>
        <v>FONASA</v>
      </c>
      <c r="E9" s="25">
        <f>+ROUND(IF(L6&lt;=E6,L6,E6),0)</f>
        <v>49241</v>
      </c>
      <c r="H9" s="74"/>
    </row>
    <row r="10" spans="2:14">
      <c r="B10" s="24"/>
      <c r="C10" s="31"/>
      <c r="D10" s="24" t="s">
        <v>16</v>
      </c>
      <c r="E10" s="26"/>
      <c r="H10" s="97"/>
      <c r="J10" s="1" t="str">
        <f>+'Impto Unico'!B1</f>
        <v>JULIO</v>
      </c>
      <c r="K10" t="s">
        <v>18</v>
      </c>
    </row>
    <row r="11" spans="2:14">
      <c r="B11" s="24"/>
      <c r="C11" s="31">
        <v>0</v>
      </c>
      <c r="D11" s="24" t="s">
        <v>19</v>
      </c>
      <c r="E11" s="25">
        <f>ROUND(IF(N6&gt;$J$12,IF(N6&gt;J13,IF(N6&gt;$J$14,IF(N6&gt;$J$15,IF(N6&gt;$J$16,IF(N6&gt;$J$17,IF(N6&gt;$J$18,(N6*$L$18)-$M$18,(N6*$L$17)-$M$17),(N6*$L$16)-$M$16),(N6*$L$15)-$M$15),(N6*$L$14)-$M$14),(N6*$L$13)-$M$13),(N6*$L$12)-$M$12),0),0)</f>
        <v>0</v>
      </c>
      <c r="I11" s="27" t="s">
        <v>20</v>
      </c>
      <c r="J11" s="28">
        <f>+'Impto Unico'!C2</f>
        <v>777019.5</v>
      </c>
      <c r="K11" s="28" t="str">
        <f>+'Impto Unico'!D2</f>
        <v>Exento</v>
      </c>
      <c r="L11" s="28" t="str">
        <f>+'Impto Unico'!E2</f>
        <v>-.-</v>
      </c>
      <c r="M11" s="28" t="str">
        <f>+'Impto Unico'!F2</f>
        <v>Exento</v>
      </c>
      <c r="N11" s="28">
        <f>+'Impto Unico'!G2</f>
        <v>0</v>
      </c>
    </row>
    <row r="12" spans="2:14">
      <c r="B12" s="24" t="s">
        <v>127</v>
      </c>
      <c r="C12" s="31">
        <v>50000</v>
      </c>
      <c r="D12" s="24" t="s">
        <v>98</v>
      </c>
      <c r="E12" s="25">
        <f>ROUND(IF(C5="INDEFINIDO",(IF(C19&gt;$K$6,($K$6*$M$22),($C$19*M22))),0),0)</f>
        <v>4221</v>
      </c>
      <c r="H12" s="56"/>
      <c r="I12" s="27"/>
      <c r="J12" s="28">
        <f>+'Impto Unico'!C3</f>
        <v>777019.51</v>
      </c>
      <c r="K12" s="28">
        <f>+'Impto Unico'!D3</f>
        <v>1726710</v>
      </c>
      <c r="L12" s="28">
        <f>+'Impto Unico'!E3</f>
        <v>0.04</v>
      </c>
      <c r="M12" s="28">
        <f>+'Impto Unico'!F3</f>
        <v>31080.78</v>
      </c>
      <c r="N12" s="28">
        <f>+'Impto Unico'!G3</f>
        <v>2.1999999999999999E-2</v>
      </c>
    </row>
    <row r="13" spans="2:14">
      <c r="B13" s="24" t="s">
        <v>25</v>
      </c>
      <c r="C13" s="31">
        <v>0</v>
      </c>
      <c r="D13" s="24" t="s">
        <v>26</v>
      </c>
      <c r="E13" s="31">
        <v>0</v>
      </c>
      <c r="I13" s="27"/>
      <c r="J13" s="28">
        <f>+'Impto Unico'!C4</f>
        <v>1726710.01</v>
      </c>
      <c r="K13" s="28">
        <f>+'Impto Unico'!D4</f>
        <v>2877850</v>
      </c>
      <c r="L13" s="28">
        <f>+'Impto Unico'!E4</f>
        <v>0.08</v>
      </c>
      <c r="M13" s="28">
        <f>+'Impto Unico'!F4</f>
        <v>100149.18</v>
      </c>
      <c r="N13" s="28">
        <f>+'Impto Unico'!G4</f>
        <v>4.5199999999999997E-2</v>
      </c>
    </row>
    <row r="14" spans="2:14">
      <c r="B14" s="24"/>
      <c r="C14" s="25"/>
      <c r="D14" s="24" t="s">
        <v>27</v>
      </c>
      <c r="E14" s="25">
        <v>0</v>
      </c>
      <c r="I14" s="27"/>
      <c r="J14" s="28">
        <f>+'Impto Unico'!C5</f>
        <v>2877850.01</v>
      </c>
      <c r="K14" s="28">
        <f>+'Impto Unico'!D5</f>
        <v>4028990</v>
      </c>
      <c r="L14" s="28">
        <f>+'Impto Unico'!E5</f>
        <v>0.13500000000000001</v>
      </c>
      <c r="M14" s="28">
        <f>+'Impto Unico'!F5</f>
        <v>258430.93</v>
      </c>
      <c r="N14" s="28">
        <f>+'Impto Unico'!G5</f>
        <v>7.0900000000000005E-2</v>
      </c>
    </row>
    <row r="15" spans="2:14">
      <c r="B15" s="24"/>
      <c r="C15" s="25"/>
      <c r="D15" s="24" t="s">
        <v>28</v>
      </c>
      <c r="E15" s="31"/>
      <c r="I15" s="27"/>
      <c r="J15" s="28">
        <f>+'Impto Unico'!C6</f>
        <v>4028990.01</v>
      </c>
      <c r="K15" s="28">
        <f>+'Impto Unico'!D6</f>
        <v>5180130</v>
      </c>
      <c r="L15" s="28">
        <f>+'Impto Unico'!E6</f>
        <v>0.23</v>
      </c>
      <c r="M15" s="28">
        <f>+'Impto Unico'!F6</f>
        <v>641184.98</v>
      </c>
      <c r="N15" s="28">
        <f>+'Impto Unico'!G6</f>
        <v>0.1062</v>
      </c>
    </row>
    <row r="16" spans="2:14">
      <c r="B16" s="24"/>
      <c r="C16" s="25"/>
      <c r="D16" s="24" t="s">
        <v>28</v>
      </c>
      <c r="E16" s="31">
        <v>0</v>
      </c>
      <c r="I16" s="27"/>
      <c r="J16" s="28">
        <f>+'Impto Unico'!C7</f>
        <v>5180130.01</v>
      </c>
      <c r="K16" s="28">
        <f>+'Impto Unico'!D7</f>
        <v>6906840</v>
      </c>
      <c r="L16" s="28">
        <f>+'Impto Unico'!E7</f>
        <v>0.30399999999999999</v>
      </c>
      <c r="M16" s="28">
        <f>+'Impto Unico'!F7</f>
        <v>1024514.6</v>
      </c>
      <c r="N16" s="28">
        <f>+'Impto Unico'!G7</f>
        <v>0.15570000000000001</v>
      </c>
    </row>
    <row r="17" spans="2:20">
      <c r="B17" s="24"/>
      <c r="C17" s="25"/>
      <c r="D17" s="24"/>
      <c r="E17" s="25"/>
      <c r="I17" s="27"/>
      <c r="J17" s="28">
        <f>+'Impto Unico'!C8</f>
        <v>6906840.0099999998</v>
      </c>
      <c r="K17" s="28">
        <f>+'Impto Unico'!D8</f>
        <v>8633550</v>
      </c>
      <c r="L17" s="28">
        <f>+'Impto Unico'!E8</f>
        <v>0.35</v>
      </c>
      <c r="M17" s="28">
        <f>+'Impto Unico'!F8</f>
        <v>1342229.24</v>
      </c>
      <c r="N17" s="28">
        <f>+'Impto Unico'!G8</f>
        <v>0.19450000000000001</v>
      </c>
    </row>
    <row r="18" spans="2:20">
      <c r="B18" s="24"/>
      <c r="C18" s="25"/>
      <c r="D18" s="24"/>
      <c r="E18" s="25"/>
      <c r="I18" s="27"/>
      <c r="J18" s="28">
        <f>+'Impto Unico'!C9</f>
        <v>8633550.0099999998</v>
      </c>
      <c r="K18" s="28" t="str">
        <f>+'Impto Unico'!D9</f>
        <v>Y MÁS</v>
      </c>
      <c r="L18" s="28">
        <f>+'Impto Unico'!E9</f>
        <v>0.4</v>
      </c>
      <c r="M18" s="28">
        <f>+'Impto Unico'!F9</f>
        <v>1773906.74</v>
      </c>
      <c r="N18" s="28" t="str">
        <f>+'Impto Unico'!G9</f>
        <v>MÁS DE 19,45%</v>
      </c>
    </row>
    <row r="19" spans="2:20">
      <c r="B19" s="35" t="s">
        <v>33</v>
      </c>
      <c r="C19" s="36">
        <f>C8+C9+C12-C13+C10+C11</f>
        <v>703447.5</v>
      </c>
      <c r="D19" s="35" t="s">
        <v>34</v>
      </c>
      <c r="E19" s="37">
        <f>SUM(E8:E17)</f>
        <v>132741</v>
      </c>
    </row>
    <row r="20" spans="2:20">
      <c r="B20" s="24"/>
      <c r="C20" s="38"/>
      <c r="D20" s="24"/>
      <c r="E20" s="25"/>
    </row>
    <row r="21" spans="2:20">
      <c r="B21" s="24"/>
      <c r="C21" s="38"/>
      <c r="D21" s="24"/>
      <c r="E21" s="25"/>
      <c r="I21" s="4" t="s">
        <v>35</v>
      </c>
      <c r="J21" s="39">
        <v>0.1144</v>
      </c>
      <c r="L21" s="4" t="s">
        <v>15</v>
      </c>
      <c r="M21" s="40">
        <v>7.0000000000000007E-2</v>
      </c>
      <c r="O21" s="41"/>
      <c r="P21" s="41"/>
      <c r="Q21" s="42"/>
      <c r="R21" s="41"/>
      <c r="S21" s="43"/>
    </row>
    <row r="22" spans="2:20">
      <c r="B22" s="24"/>
      <c r="C22" s="38"/>
      <c r="D22" s="24"/>
      <c r="E22" s="25"/>
      <c r="I22" s="4" t="s">
        <v>36</v>
      </c>
      <c r="J22" s="39">
        <v>0.1144</v>
      </c>
      <c r="L22" s="4" t="s">
        <v>37</v>
      </c>
      <c r="M22" s="44">
        <v>6.0000000000000001E-3</v>
      </c>
      <c r="N22" s="20"/>
      <c r="O22" s="45"/>
      <c r="P22" s="41"/>
      <c r="Q22" s="41"/>
      <c r="R22" s="42"/>
      <c r="S22" s="41"/>
      <c r="T22" s="43"/>
    </row>
    <row r="23" spans="2:20">
      <c r="B23" s="24"/>
      <c r="C23" s="25"/>
      <c r="D23" s="24"/>
      <c r="E23" s="25"/>
      <c r="I23" s="4" t="s">
        <v>38</v>
      </c>
      <c r="J23" s="39">
        <v>0.11269999999999999</v>
      </c>
      <c r="O23" s="45"/>
      <c r="P23" s="41"/>
      <c r="Q23" s="41"/>
      <c r="R23" s="42"/>
      <c r="S23" s="41"/>
      <c r="T23" s="43"/>
    </row>
    <row r="24" spans="2:20">
      <c r="B24" s="24" t="s">
        <v>99</v>
      </c>
      <c r="C24" s="25">
        <v>50000</v>
      </c>
      <c r="D24" s="24"/>
      <c r="E24" s="25"/>
      <c r="I24" s="4" t="s">
        <v>40</v>
      </c>
      <c r="J24" s="39">
        <v>0.1116</v>
      </c>
      <c r="O24" s="45"/>
      <c r="P24" s="41"/>
      <c r="Q24" s="41"/>
      <c r="R24" s="42"/>
      <c r="S24" s="41"/>
      <c r="T24" s="43"/>
    </row>
    <row r="25" spans="2:20">
      <c r="B25" s="24" t="s">
        <v>100</v>
      </c>
      <c r="C25" s="25">
        <v>50000</v>
      </c>
      <c r="D25" s="24"/>
      <c r="E25" s="25"/>
      <c r="I25" s="4" t="s">
        <v>42</v>
      </c>
      <c r="J25" s="39">
        <v>0.1145</v>
      </c>
      <c r="O25" s="45"/>
      <c r="P25" s="41"/>
      <c r="Q25" s="41"/>
      <c r="R25" s="42"/>
      <c r="S25" s="41"/>
      <c r="T25" s="43"/>
    </row>
    <row r="26" spans="2:20" ht="15.75" thickBot="1">
      <c r="B26" s="24" t="s">
        <v>43</v>
      </c>
      <c r="C26" s="25"/>
      <c r="D26" s="24"/>
      <c r="E26" s="25"/>
      <c r="I26" s="4" t="s">
        <v>44</v>
      </c>
      <c r="J26" s="39">
        <v>0.10580000000000001</v>
      </c>
      <c r="O26" s="45"/>
      <c r="P26" s="41"/>
      <c r="Q26" s="41"/>
      <c r="R26" s="42"/>
      <c r="S26" s="41"/>
      <c r="T26" s="43"/>
    </row>
    <row r="27" spans="2:20" ht="15.75" thickBot="1">
      <c r="B27" s="46" t="s">
        <v>45</v>
      </c>
      <c r="C27" s="47">
        <f>C19+C24+C25</f>
        <v>803447.5</v>
      </c>
      <c r="D27" s="48" t="s">
        <v>46</v>
      </c>
      <c r="E27" s="49">
        <f>C19-E19+C24+C25</f>
        <v>670706.5</v>
      </c>
      <c r="H27" s="74"/>
      <c r="I27" s="4" t="s">
        <v>101</v>
      </c>
      <c r="J27" s="39">
        <v>0.1069</v>
      </c>
      <c r="O27" s="45"/>
      <c r="P27" s="41"/>
      <c r="Q27" s="50"/>
      <c r="R27" s="42"/>
      <c r="S27" s="41"/>
      <c r="T27" s="42"/>
    </row>
    <row r="28" spans="2:20" ht="15.75" thickBot="1">
      <c r="B28" s="270" t="s">
        <v>47</v>
      </c>
      <c r="C28" s="271"/>
      <c r="D28" s="271"/>
      <c r="E28" s="51">
        <v>0</v>
      </c>
      <c r="I28" s="4" t="s">
        <v>95</v>
      </c>
      <c r="J28" s="39">
        <v>0.21840000000000001</v>
      </c>
      <c r="O28" s="45"/>
      <c r="P28" s="41"/>
      <c r="Q28" s="50"/>
      <c r="R28" s="42"/>
      <c r="S28" s="41"/>
      <c r="T28" s="42"/>
    </row>
    <row r="29" spans="2:20" ht="15.75" thickBot="1">
      <c r="B29" s="53" t="s">
        <v>48</v>
      </c>
      <c r="C29" s="54"/>
      <c r="D29" s="54"/>
      <c r="E29" s="55">
        <f>E27+E28</f>
        <v>670706.5</v>
      </c>
      <c r="I29" s="56"/>
      <c r="O29" s="45"/>
      <c r="P29" s="41"/>
      <c r="Q29" s="50"/>
      <c r="R29" s="42"/>
      <c r="S29" s="41"/>
      <c r="T29" s="42"/>
    </row>
    <row r="30" spans="2:20">
      <c r="G30" s="6"/>
      <c r="K30" s="52"/>
    </row>
    <row r="31" spans="2:20">
      <c r="D31" s="56"/>
      <c r="G31" s="6"/>
    </row>
    <row r="32" spans="2:20">
      <c r="B32" s="4" t="s">
        <v>49</v>
      </c>
      <c r="C32" s="39">
        <v>2.4E-2</v>
      </c>
      <c r="D32" s="16">
        <f>IF(C19&gt;$K$6,($K$6*$C$32),($C$19*C32))</f>
        <v>16882.740000000002</v>
      </c>
      <c r="G32" s="6"/>
    </row>
    <row r="33" spans="2:10">
      <c r="B33" s="4" t="s">
        <v>123</v>
      </c>
      <c r="C33" s="39">
        <v>9.2999999999999992E-3</v>
      </c>
      <c r="D33" s="16">
        <f>IF(C19&lt;$J$6,C19*$C$33,$J$6*$C$33)</f>
        <v>6542.0617499999998</v>
      </c>
      <c r="E33" s="57"/>
      <c r="G33" s="6"/>
    </row>
    <row r="34" spans="2:10">
      <c r="B34" s="4" t="s">
        <v>51</v>
      </c>
      <c r="C34" s="39">
        <v>1.8599999999999998E-2</v>
      </c>
      <c r="D34" s="58">
        <f>IF(C19&lt;$J$6,C19*$C$34,$J$6*$C$34)</f>
        <v>13084.1235</v>
      </c>
      <c r="E34" s="57"/>
      <c r="G34" s="6"/>
    </row>
    <row r="35" spans="2:10">
      <c r="B35" s="7" t="s">
        <v>52</v>
      </c>
      <c r="C35" s="7"/>
      <c r="D35" s="59">
        <f>C27+D32+D33+D34</f>
        <v>839956.42524999997</v>
      </c>
      <c r="E35" s="60"/>
      <c r="G35" s="6"/>
      <c r="I35">
        <f>128/4</f>
        <v>32</v>
      </c>
    </row>
    <row r="36" spans="2:10">
      <c r="B36" s="61"/>
      <c r="C36" s="62"/>
      <c r="E36" s="17"/>
      <c r="G36" s="6"/>
    </row>
    <row r="37" spans="2:10">
      <c r="B37" s="61" t="s">
        <v>102</v>
      </c>
      <c r="C37" s="61" t="s">
        <v>128</v>
      </c>
      <c r="E37" s="17"/>
      <c r="G37" s="6"/>
    </row>
    <row r="38" spans="2:10">
      <c r="B38" t="s">
        <v>104</v>
      </c>
      <c r="C38" s="62" t="s">
        <v>129</v>
      </c>
      <c r="E38" s="17"/>
    </row>
    <row r="39" spans="2:10">
      <c r="B39" s="63" t="s">
        <v>106</v>
      </c>
      <c r="C39" s="62" t="s">
        <v>130</v>
      </c>
      <c r="E39" s="17"/>
    </row>
    <row r="40" spans="2:10">
      <c r="B40" t="s">
        <v>108</v>
      </c>
      <c r="C40" s="144">
        <v>42401</v>
      </c>
      <c r="E40" s="17"/>
      <c r="H40" s="56"/>
      <c r="I40" s="17"/>
      <c r="J40" s="65"/>
    </row>
    <row r="41" spans="2:10">
      <c r="B41" s="61"/>
      <c r="C41" s="62"/>
      <c r="E41" s="17"/>
      <c r="H41" s="56"/>
      <c r="I41" s="17"/>
    </row>
    <row r="42" spans="2:10">
      <c r="B42" s="61"/>
      <c r="C42" s="62"/>
      <c r="E42" s="17"/>
      <c r="H42" s="17"/>
      <c r="I42" s="66"/>
    </row>
    <row r="43" spans="2:10">
      <c r="B43" s="67"/>
      <c r="C43" s="68"/>
      <c r="E43" s="17"/>
      <c r="H43" s="17"/>
      <c r="I43" s="17"/>
    </row>
    <row r="44" spans="2:10">
      <c r="C44" s="21"/>
      <c r="E44" s="17"/>
      <c r="G44" s="102"/>
      <c r="H44" s="6"/>
      <c r="I44" s="17"/>
    </row>
    <row r="45" spans="2:10">
      <c r="B45" s="61"/>
      <c r="C45" s="69"/>
      <c r="D45" s="125"/>
      <c r="E45" s="17"/>
      <c r="G45" s="102"/>
      <c r="I45" s="17"/>
    </row>
    <row r="46" spans="2:10">
      <c r="B46" s="61"/>
      <c r="C46" s="69"/>
      <c r="E46" s="17"/>
      <c r="I46" s="17"/>
    </row>
    <row r="47" spans="2:10">
      <c r="B47" s="61"/>
      <c r="C47" s="69"/>
      <c r="E47" s="17"/>
      <c r="I47" s="66"/>
    </row>
    <row r="48" spans="2:10">
      <c r="B48" s="61"/>
      <c r="C48" s="69"/>
      <c r="E48" s="17"/>
      <c r="I48" s="17"/>
    </row>
    <row r="49" spans="2:9">
      <c r="B49" s="61"/>
      <c r="C49" s="69"/>
      <c r="E49" s="17"/>
      <c r="I49" s="66"/>
    </row>
    <row r="50" spans="2:9">
      <c r="B50" s="61"/>
      <c r="C50" s="69"/>
      <c r="E50" s="17"/>
      <c r="I50" s="17"/>
    </row>
    <row r="51" spans="2:9">
      <c r="B51" s="61"/>
      <c r="C51" s="69"/>
      <c r="E51" s="17"/>
      <c r="I51" s="17"/>
    </row>
    <row r="52" spans="2:9">
      <c r="B52" s="61"/>
      <c r="C52" s="69"/>
      <c r="E52" s="17"/>
      <c r="I52" s="70"/>
    </row>
    <row r="53" spans="2:9">
      <c r="B53" s="63"/>
      <c r="C53" s="64"/>
      <c r="E53" s="17"/>
      <c r="I53" s="66"/>
    </row>
    <row r="54" spans="2:9">
      <c r="C54"/>
      <c r="E54" s="17"/>
    </row>
    <row r="55" spans="2:9">
      <c r="B55" s="63"/>
      <c r="C55" s="64"/>
      <c r="E55" s="17"/>
    </row>
  </sheetData>
  <mergeCells count="1">
    <mergeCell ref="B28:D2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8445-9B23-4764-BFD5-8CE493CAC210}">
  <sheetPr>
    <pageSetUpPr fitToPage="1"/>
  </sheetPr>
  <dimension ref="B3:S50"/>
  <sheetViews>
    <sheetView showGridLines="0" topLeftCell="A16" zoomScale="120" zoomScaleNormal="120" zoomScaleSheetLayoutView="90" workbookViewId="0">
      <selection activeCell="U31" sqref="U31"/>
    </sheetView>
  </sheetViews>
  <sheetFormatPr baseColWidth="10" defaultColWidth="11.42578125" defaultRowHeight="15"/>
  <cols>
    <col min="1" max="1" width="7.42578125" customWidth="1"/>
    <col min="2" max="2" width="7.140625" customWidth="1"/>
    <col min="3" max="3" width="2.7109375" customWidth="1"/>
    <col min="4" max="4" width="5.140625" customWidth="1"/>
    <col min="5" max="5" width="4.42578125" customWidth="1"/>
    <col min="6" max="6" width="8.7109375" customWidth="1"/>
    <col min="7" max="7" width="1.28515625" customWidth="1"/>
    <col min="8" max="8" width="7" customWidth="1"/>
    <col min="9" max="9" width="1.42578125" customWidth="1"/>
    <col min="10" max="10" width="4.140625" customWidth="1"/>
    <col min="11" max="11" width="1.7109375" customWidth="1"/>
    <col min="12" max="12" width="9.28515625" customWidth="1"/>
    <col min="13" max="13" width="4.7109375" customWidth="1"/>
    <col min="14" max="14" width="1.28515625" customWidth="1"/>
    <col min="15" max="15" width="1.42578125" customWidth="1"/>
    <col min="16" max="16" width="11.42578125" customWidth="1"/>
    <col min="17" max="17" width="0.7109375" customWidth="1"/>
    <col min="18" max="18" width="7.7109375" customWidth="1"/>
    <col min="19" max="19" width="6.28515625" customWidth="1"/>
    <col min="20" max="20" width="7" customWidth="1"/>
  </cols>
  <sheetData>
    <row r="3" spans="2:19" ht="18.75">
      <c r="J3" s="83"/>
      <c r="K3" s="83"/>
      <c r="L3" s="83"/>
      <c r="M3" s="83"/>
      <c r="R3" s="279" t="str">
        <f>+'Liquidacion Rolando Carrasco'!C1</f>
        <v>JULIO 2022</v>
      </c>
      <c r="S3" s="280"/>
    </row>
    <row r="6" spans="2:19" ht="18.75">
      <c r="B6" s="83" t="s">
        <v>110</v>
      </c>
      <c r="C6" s="83"/>
      <c r="D6" s="83"/>
      <c r="E6" s="83"/>
      <c r="F6" s="83"/>
      <c r="G6" s="83"/>
      <c r="H6" s="83"/>
      <c r="I6" s="83"/>
      <c r="J6" s="83"/>
      <c r="L6" s="83" t="s">
        <v>111</v>
      </c>
      <c r="M6" s="83"/>
    </row>
    <row r="8" spans="2:19" ht="18">
      <c r="B8" s="84"/>
      <c r="C8" s="277" t="str">
        <f>+'Liquidacion Rolando Carrasco'!C38</f>
        <v>17534301-6</v>
      </c>
      <c r="D8" s="278"/>
      <c r="E8" s="278"/>
      <c r="F8" s="278"/>
      <c r="G8" s="278"/>
      <c r="H8" s="278"/>
      <c r="I8" s="85"/>
      <c r="L8" s="86"/>
      <c r="M8" s="86"/>
      <c r="P8" s="91" t="s">
        <v>112</v>
      </c>
      <c r="S8" s="87"/>
    </row>
    <row r="9" spans="2:19" ht="16.5" customHeight="1">
      <c r="B9" s="281"/>
      <c r="C9" s="281"/>
      <c r="D9" s="282" t="str">
        <f>+'Liquidacion Rolando Carrasco'!C37</f>
        <v>Rolando Carrasco</v>
      </c>
      <c r="E9" s="282"/>
      <c r="F9" s="282"/>
      <c r="G9" s="282"/>
      <c r="H9" s="282"/>
      <c r="I9" s="282"/>
      <c r="J9" s="282"/>
      <c r="L9" s="86"/>
      <c r="M9" s="91" t="s">
        <v>113</v>
      </c>
      <c r="O9" s="86"/>
      <c r="P9" s="86"/>
    </row>
    <row r="10" spans="2:19" ht="17.25" customHeight="1">
      <c r="B10" s="84"/>
      <c r="C10" s="84"/>
      <c r="D10" s="84"/>
      <c r="E10" s="84"/>
      <c r="F10" s="283"/>
      <c r="G10" s="282"/>
      <c r="H10" s="282"/>
      <c r="I10" s="282"/>
      <c r="J10" s="282"/>
      <c r="L10" s="86"/>
      <c r="M10" s="86"/>
      <c r="N10" s="91" t="s">
        <v>114</v>
      </c>
      <c r="O10" s="86"/>
      <c r="P10" s="92"/>
    </row>
    <row r="11" spans="2:19" ht="16.5" customHeight="1">
      <c r="B11" s="84"/>
      <c r="C11" s="84"/>
      <c r="D11" s="277" t="str">
        <f>+'Liquidacion Rolando Carrasco'!C39</f>
        <v>Administrativo</v>
      </c>
      <c r="E11" s="278"/>
      <c r="F11" s="278"/>
      <c r="G11" s="278"/>
      <c r="H11" s="278"/>
      <c r="L11" s="86"/>
      <c r="M11" s="91" t="s">
        <v>115</v>
      </c>
      <c r="O11" s="86"/>
      <c r="P11" s="86"/>
      <c r="Q11" s="86"/>
    </row>
    <row r="12" spans="2:19" ht="27" customHeight="1"/>
    <row r="13" spans="2:19" ht="19.5" customHeight="1"/>
    <row r="14" spans="2:19" ht="4.5" customHeight="1"/>
    <row r="15" spans="2:19" ht="18.75" customHeight="1">
      <c r="B15" s="284">
        <f>+'Liquidacion Rolando Carrasco'!C3</f>
        <v>30</v>
      </c>
      <c r="C15" s="284"/>
      <c r="D15" s="284"/>
      <c r="E15" s="284"/>
      <c r="F15" s="284"/>
      <c r="G15" s="52"/>
      <c r="H15" s="285"/>
      <c r="I15" s="285"/>
      <c r="J15" s="285"/>
      <c r="K15" s="285"/>
      <c r="L15" s="285"/>
      <c r="M15" s="285"/>
      <c r="O15" s="285"/>
      <c r="P15" s="285"/>
      <c r="Q15" s="285"/>
      <c r="R15" s="285"/>
      <c r="S15" s="285"/>
    </row>
    <row r="16" spans="2:19" ht="19.5" customHeight="1"/>
    <row r="18" spans="2:19" ht="16.5" customHeight="1"/>
    <row r="19" spans="2:19" ht="18.75" customHeight="1">
      <c r="Q19" t="s">
        <v>116</v>
      </c>
    </row>
    <row r="20" spans="2:19" ht="14.25" customHeight="1">
      <c r="B20" s="83" t="s">
        <v>117</v>
      </c>
    </row>
    <row r="21" spans="2:19" ht="8.25" customHeight="1"/>
    <row r="22" spans="2:19" ht="15.75" customHeight="1">
      <c r="B22" s="284" t="str">
        <f>+'Liquidacion Rolando Carrasco'!B8</f>
        <v>Sueldo base</v>
      </c>
      <c r="C22" s="284"/>
      <c r="D22" s="284"/>
      <c r="E22" s="284"/>
      <c r="F22" s="284"/>
      <c r="G22" s="284"/>
      <c r="H22" s="284"/>
      <c r="I22" s="88"/>
      <c r="J22" s="286">
        <f>+'Liquidacion Rolando Carrasco'!C8</f>
        <v>512758</v>
      </c>
      <c r="K22" s="286"/>
      <c r="L22" s="286"/>
      <c r="M22" s="286"/>
      <c r="N22" s="88"/>
      <c r="O22" s="284"/>
      <c r="P22" s="284"/>
      <c r="Q22" s="284"/>
      <c r="R22" s="284"/>
      <c r="S22" s="284"/>
    </row>
    <row r="23" spans="2:19" ht="4.5" customHeight="1">
      <c r="B23" s="88"/>
      <c r="C23" s="88"/>
      <c r="D23" s="88"/>
      <c r="E23" s="88"/>
      <c r="F23" s="88"/>
      <c r="G23" s="88"/>
      <c r="H23" s="88"/>
      <c r="I23" s="88"/>
      <c r="J23" s="89"/>
      <c r="K23" s="89"/>
      <c r="L23" s="89"/>
      <c r="M23" s="89"/>
      <c r="N23" s="88"/>
      <c r="O23" s="88"/>
      <c r="P23" s="88"/>
      <c r="Q23" s="88"/>
      <c r="R23" s="88"/>
      <c r="S23" s="88"/>
    </row>
    <row r="24" spans="2:19" ht="15.75" customHeight="1">
      <c r="B24" s="284" t="str">
        <f>+'Liquidacion Rolando Carrasco'!B9</f>
        <v>Gratificación</v>
      </c>
      <c r="C24" s="284"/>
      <c r="D24" s="284"/>
      <c r="E24" s="284"/>
      <c r="F24" s="284"/>
      <c r="G24" s="284"/>
      <c r="H24" s="284"/>
      <c r="I24" s="88"/>
      <c r="J24" s="286">
        <f>+'Liquidacion Rolando Carrasco'!C9</f>
        <v>140689.5</v>
      </c>
      <c r="K24" s="286"/>
      <c r="L24" s="286"/>
      <c r="M24" s="286"/>
      <c r="N24" s="88"/>
      <c r="O24" s="284"/>
      <c r="P24" s="284"/>
      <c r="Q24" s="284"/>
      <c r="R24" s="284"/>
      <c r="S24" s="284"/>
    </row>
    <row r="25" spans="2:19" ht="4.5" customHeight="1">
      <c r="B25" s="100"/>
      <c r="C25" s="100"/>
      <c r="D25" s="100"/>
      <c r="E25" s="100"/>
      <c r="F25" s="100"/>
      <c r="G25" s="100"/>
      <c r="H25" s="100"/>
      <c r="I25" s="88"/>
      <c r="J25" s="99"/>
      <c r="K25" s="99"/>
      <c r="L25" s="99"/>
      <c r="M25" s="99"/>
      <c r="N25" s="88"/>
      <c r="O25" s="100"/>
      <c r="P25" s="100"/>
      <c r="Q25" s="100"/>
      <c r="R25" s="100"/>
      <c r="S25" s="100"/>
    </row>
    <row r="26" spans="2:19" ht="15.75" customHeight="1">
      <c r="B26" s="284" t="str">
        <f>+'Liquidacion Rolando Carrasco'!B24</f>
        <v>Colación</v>
      </c>
      <c r="C26" s="284"/>
      <c r="D26" s="284"/>
      <c r="E26" s="284"/>
      <c r="F26" s="284"/>
      <c r="G26" s="284"/>
      <c r="H26" s="284"/>
      <c r="I26" s="88"/>
      <c r="J26" s="286">
        <f>+'Liquidacion Rolando Carrasco'!C24</f>
        <v>50000</v>
      </c>
      <c r="K26" s="286"/>
      <c r="L26" s="286"/>
      <c r="M26" s="286"/>
      <c r="N26" s="88"/>
      <c r="O26" s="100"/>
      <c r="P26" s="100"/>
      <c r="Q26" s="100"/>
      <c r="R26" s="100"/>
      <c r="S26" s="100"/>
    </row>
    <row r="27" spans="2:19" ht="6" customHeight="1">
      <c r="B27" s="100"/>
      <c r="C27" s="100"/>
      <c r="D27" s="100"/>
      <c r="E27" s="100"/>
      <c r="F27" s="100"/>
      <c r="G27" s="100"/>
      <c r="H27" s="100"/>
      <c r="I27" s="88"/>
      <c r="J27" s="99"/>
      <c r="K27" s="99"/>
      <c r="L27" s="99"/>
      <c r="M27" s="99"/>
      <c r="N27" s="88"/>
      <c r="O27" s="100"/>
      <c r="P27" s="100"/>
      <c r="Q27" s="100"/>
      <c r="R27" s="100"/>
      <c r="S27" s="100"/>
    </row>
    <row r="28" spans="2:19" ht="15.6" customHeight="1">
      <c r="B28" s="284" t="str">
        <f>+'Liquidacion Rolando Carrasco'!B25</f>
        <v>Movilización</v>
      </c>
      <c r="C28" s="284"/>
      <c r="D28" s="284"/>
      <c r="E28" s="284"/>
      <c r="F28" s="284"/>
      <c r="G28" s="284"/>
      <c r="H28" s="284"/>
      <c r="I28" s="88"/>
      <c r="J28" s="286">
        <f>+'Liquidacion Rolando Carrasco'!C25</f>
        <v>50000</v>
      </c>
      <c r="K28" s="286"/>
      <c r="L28" s="286"/>
      <c r="M28" s="286"/>
      <c r="N28" s="88"/>
      <c r="O28" s="100"/>
      <c r="P28" s="100"/>
      <c r="Q28" s="100"/>
      <c r="R28" s="100"/>
      <c r="S28" s="100"/>
    </row>
    <row r="29" spans="2:19" ht="4.3499999999999996" customHeight="1">
      <c r="B29" s="100"/>
      <c r="C29" s="100"/>
      <c r="D29" s="100"/>
      <c r="E29" s="100"/>
      <c r="F29" s="100"/>
      <c r="G29" s="100"/>
      <c r="H29" s="100"/>
      <c r="I29" s="88"/>
      <c r="J29" s="99"/>
      <c r="K29" s="99"/>
      <c r="L29" s="99"/>
      <c r="M29" s="99"/>
      <c r="N29" s="88"/>
      <c r="O29" s="100"/>
      <c r="P29" s="100"/>
      <c r="Q29" s="100"/>
      <c r="R29" s="100"/>
      <c r="S29" s="100"/>
    </row>
    <row r="30" spans="2:19" ht="15.6" customHeight="1">
      <c r="B30" s="284" t="str">
        <f>'Liquidacion Rolando Carrasco'!B12</f>
        <v>Bono Produccion</v>
      </c>
      <c r="C30" s="284"/>
      <c r="D30" s="284"/>
      <c r="E30" s="284"/>
      <c r="F30" s="284"/>
      <c r="G30" s="284"/>
      <c r="H30" s="284"/>
      <c r="I30" s="88"/>
      <c r="J30" s="286">
        <f>'Liquidacion Rolando Carrasco'!C12</f>
        <v>50000</v>
      </c>
      <c r="K30" s="286"/>
      <c r="L30" s="286"/>
      <c r="M30" s="286"/>
      <c r="N30" s="88"/>
      <c r="O30" s="100"/>
      <c r="P30" s="100"/>
      <c r="Q30" s="100"/>
      <c r="R30" s="100"/>
      <c r="S30" s="100"/>
    </row>
    <row r="31" spans="2:19" ht="14.25" customHeight="1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</row>
    <row r="32" spans="2:19" ht="18.75">
      <c r="B32" s="90" t="s">
        <v>118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</row>
    <row r="33" spans="2:19" ht="6.75" customHeight="1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2:19" ht="15.75" customHeight="1">
      <c r="B34" s="284" t="str">
        <f>'Liquidacion Rolando Carrasco'!C6</f>
        <v>Habitat</v>
      </c>
      <c r="C34" s="284"/>
      <c r="D34" s="284"/>
      <c r="E34" s="284"/>
      <c r="F34" s="284"/>
      <c r="G34" s="284"/>
      <c r="H34" s="284"/>
      <c r="I34" s="88"/>
      <c r="J34" s="284"/>
      <c r="K34" s="284"/>
      <c r="L34" s="284"/>
      <c r="M34" s="284"/>
      <c r="N34" s="88"/>
      <c r="O34" s="286">
        <f>+'Liquidacion Rolando Carrasco'!E8</f>
        <v>79279</v>
      </c>
      <c r="P34" s="286"/>
      <c r="Q34" s="286"/>
      <c r="R34" s="286"/>
      <c r="S34" s="286"/>
    </row>
    <row r="35" spans="2:19" ht="6" customHeight="1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9"/>
      <c r="P35" s="89"/>
      <c r="Q35" s="89"/>
      <c r="R35" s="89"/>
      <c r="S35" s="89"/>
    </row>
    <row r="36" spans="2:19" ht="15.75" customHeight="1">
      <c r="B36" s="284" t="str">
        <f>+'Liquidacion Rolando Carrasco'!D9</f>
        <v>FONASA</v>
      </c>
      <c r="C36" s="284"/>
      <c r="D36" s="284"/>
      <c r="E36" s="284"/>
      <c r="F36" s="284"/>
      <c r="G36" s="284"/>
      <c r="H36" s="284"/>
      <c r="I36" s="88"/>
      <c r="J36" s="284"/>
      <c r="K36" s="284"/>
      <c r="L36" s="284"/>
      <c r="M36" s="284"/>
      <c r="N36" s="88"/>
      <c r="O36" s="286">
        <f>+'Liquidacion Rolando Carrasco'!E9+'Liquidacion Rolando Carrasco'!E10</f>
        <v>49241</v>
      </c>
      <c r="P36" s="286"/>
      <c r="Q36" s="286"/>
      <c r="R36" s="286"/>
      <c r="S36" s="286"/>
    </row>
    <row r="37" spans="2:19" ht="5.0999999999999996" customHeight="1"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9"/>
      <c r="P37" s="89"/>
      <c r="Q37" s="89"/>
      <c r="R37" s="89"/>
      <c r="S37" s="89"/>
    </row>
    <row r="38" spans="2:19" ht="15" customHeight="1">
      <c r="B38" s="284" t="str">
        <f>+'Liquidacion Rolando Carrasco'!D11</f>
        <v>Impuesto Unico</v>
      </c>
      <c r="C38" s="284"/>
      <c r="D38" s="284"/>
      <c r="E38" s="284"/>
      <c r="F38" s="284"/>
      <c r="G38" s="284"/>
      <c r="H38" s="284"/>
      <c r="I38" s="88"/>
      <c r="J38" s="284"/>
      <c r="K38" s="284"/>
      <c r="L38" s="284"/>
      <c r="M38" s="284"/>
      <c r="N38" s="88"/>
      <c r="O38" s="286">
        <f>+'Liquidacion Rolando Carrasco'!E11</f>
        <v>0</v>
      </c>
      <c r="P38" s="286"/>
      <c r="Q38" s="286"/>
      <c r="R38" s="286"/>
      <c r="S38" s="286"/>
    </row>
    <row r="39" spans="2:19" ht="6" customHeight="1"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</row>
    <row r="40" spans="2:19" ht="15.75" customHeight="1">
      <c r="B40" s="284" t="str">
        <f>+'Liquidacion Rolando Carrasco'!D12</f>
        <v>Seg. Cesantia (0,6 %)</v>
      </c>
      <c r="C40" s="284"/>
      <c r="D40" s="284"/>
      <c r="E40" s="284"/>
      <c r="F40" s="284"/>
      <c r="G40" s="284"/>
      <c r="H40" s="284"/>
      <c r="I40" s="88"/>
      <c r="J40" s="284"/>
      <c r="K40" s="284"/>
      <c r="L40" s="284"/>
      <c r="M40" s="284"/>
      <c r="N40" s="88"/>
      <c r="O40" s="286">
        <f>+'Liquidacion Rolando Carrasco'!E12</f>
        <v>4221</v>
      </c>
      <c r="P40" s="286"/>
      <c r="Q40" s="286"/>
      <c r="R40" s="286"/>
      <c r="S40" s="286"/>
    </row>
    <row r="41" spans="2:19" ht="9" customHeight="1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2:19"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</row>
    <row r="43" spans="2:19" ht="18" customHeight="1">
      <c r="B43" s="88"/>
      <c r="C43" s="88"/>
      <c r="D43" s="88"/>
      <c r="E43" s="88"/>
      <c r="F43" s="88"/>
      <c r="G43" s="88"/>
      <c r="H43" s="88"/>
      <c r="I43" s="88"/>
      <c r="J43" s="286">
        <f>+'Liquidacion Rolando Carrasco'!C27</f>
        <v>803447.5</v>
      </c>
      <c r="K43" s="286"/>
      <c r="L43" s="286"/>
      <c r="M43" s="286"/>
      <c r="N43" s="88"/>
      <c r="O43" s="88"/>
      <c r="P43" s="286">
        <f>+'Liquidacion Rolando Carrasco'!E19</f>
        <v>132741</v>
      </c>
      <c r="Q43" s="286"/>
      <c r="R43" s="286"/>
      <c r="S43" s="286"/>
    </row>
    <row r="44" spans="2:19" ht="3" customHeight="1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</row>
    <row r="45" spans="2:19" ht="6.75" customHeight="1"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4"/>
      <c r="N45" s="88"/>
      <c r="O45" s="284"/>
      <c r="P45" s="284"/>
      <c r="Q45" s="284"/>
      <c r="R45" s="284"/>
      <c r="S45" s="284"/>
    </row>
    <row r="46" spans="2:19">
      <c r="B46" s="88"/>
      <c r="C46" s="88"/>
      <c r="D46" s="88"/>
      <c r="E46" s="88"/>
      <c r="F46" s="88"/>
      <c r="G46" s="88"/>
      <c r="H46" s="88"/>
      <c r="I46" s="88"/>
      <c r="J46" s="286">
        <f>+'Liquidacion Rolando Carrasco'!E27</f>
        <v>670706.5</v>
      </c>
      <c r="K46" s="286"/>
      <c r="L46" s="286"/>
      <c r="M46" s="286"/>
      <c r="N46" s="286"/>
      <c r="O46" s="286"/>
      <c r="P46" s="286"/>
      <c r="Q46" s="286"/>
      <c r="R46" s="286"/>
      <c r="S46" s="286"/>
    </row>
    <row r="47" spans="2:19" ht="16.5" customHeight="1"/>
    <row r="48" spans="2:19" ht="15.75" customHeight="1">
      <c r="O48" s="285"/>
      <c r="P48" s="285"/>
      <c r="R48" s="285"/>
      <c r="S48" s="285"/>
    </row>
    <row r="49" spans="2:19" ht="6.75" customHeight="1"/>
    <row r="50" spans="2:19" ht="16.5" customHeight="1">
      <c r="B50" s="285"/>
      <c r="C50" s="285"/>
      <c r="D50" s="285"/>
      <c r="E50" s="285"/>
      <c r="O50" s="285"/>
      <c r="P50" s="285"/>
      <c r="Q50" s="285"/>
      <c r="R50" s="285"/>
      <c r="S50" s="285"/>
    </row>
  </sheetData>
  <mergeCells count="42">
    <mergeCell ref="B50:E50"/>
    <mergeCell ref="O50:S50"/>
    <mergeCell ref="B30:H30"/>
    <mergeCell ref="J30:M30"/>
    <mergeCell ref="J43:M43"/>
    <mergeCell ref="P43:S43"/>
    <mergeCell ref="B45:M45"/>
    <mergeCell ref="O45:S45"/>
    <mergeCell ref="J46:S46"/>
    <mergeCell ref="O48:P48"/>
    <mergeCell ref="R48:S48"/>
    <mergeCell ref="B38:H38"/>
    <mergeCell ref="J38:M38"/>
    <mergeCell ref="O38:S38"/>
    <mergeCell ref="B40:H40"/>
    <mergeCell ref="J40:M40"/>
    <mergeCell ref="O40:S40"/>
    <mergeCell ref="B34:H34"/>
    <mergeCell ref="J34:M34"/>
    <mergeCell ref="O34:S34"/>
    <mergeCell ref="B36:H36"/>
    <mergeCell ref="J36:M36"/>
    <mergeCell ref="O36:S36"/>
    <mergeCell ref="B28:H28"/>
    <mergeCell ref="J28:M28"/>
    <mergeCell ref="B15:F15"/>
    <mergeCell ref="H15:M15"/>
    <mergeCell ref="O15:S15"/>
    <mergeCell ref="B22:H22"/>
    <mergeCell ref="J22:M22"/>
    <mergeCell ref="O22:S22"/>
    <mergeCell ref="B24:H24"/>
    <mergeCell ref="J24:M24"/>
    <mergeCell ref="O24:S24"/>
    <mergeCell ref="B26:H26"/>
    <mergeCell ref="J26:M26"/>
    <mergeCell ref="D11:H11"/>
    <mergeCell ref="R3:S3"/>
    <mergeCell ref="C8:H8"/>
    <mergeCell ref="B9:C9"/>
    <mergeCell ref="D9:J9"/>
    <mergeCell ref="F10:J10"/>
  </mergeCells>
  <pageMargins left="0.19685039370078741" right="0.19685039370078741" top="0.19685039370078741" bottom="0.19685039370078741" header="0" footer="0"/>
  <pageSetup paperSize="119" scale="9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22</vt:i4>
      </vt:variant>
    </vt:vector>
  </HeadingPairs>
  <TitlesOfParts>
    <vt:vector size="50" baseType="lpstr">
      <vt:lpstr>SMI</vt:lpstr>
      <vt:lpstr>Hoja1</vt:lpstr>
      <vt:lpstr>Impto Unico</vt:lpstr>
      <vt:lpstr>Liquidacion Veronica Lopez</vt:lpstr>
      <vt:lpstr>Plantilla Veronica</vt:lpstr>
      <vt:lpstr>Liquidacion Filip Carrasco</vt:lpstr>
      <vt:lpstr>Plantilla Filip</vt:lpstr>
      <vt:lpstr>Liquidacion Rolando Carrasco</vt:lpstr>
      <vt:lpstr>Plantilla Rolando</vt:lpstr>
      <vt:lpstr>Liquidacion Helena Carrascova</vt:lpstr>
      <vt:lpstr>Plantilla Helena</vt:lpstr>
      <vt:lpstr>Liquidacion Angelis Fernandez</vt:lpstr>
      <vt:lpstr>Plantilla Angeliz</vt:lpstr>
      <vt:lpstr>Liquidacion Carlos Figueroa</vt:lpstr>
      <vt:lpstr>Plantilla Carlos</vt:lpstr>
      <vt:lpstr>Liquidacion Favio Remache</vt:lpstr>
      <vt:lpstr>Plantilla Favio</vt:lpstr>
      <vt:lpstr>Liquidacion Ingrid Soto</vt:lpstr>
      <vt:lpstr>Plantilla Ingrid</vt:lpstr>
      <vt:lpstr>Liquidacion Santana JN Francois</vt:lpstr>
      <vt:lpstr>Plantilla Santana</vt:lpstr>
      <vt:lpstr>Liquidacion Freddy Perez</vt:lpstr>
      <vt:lpstr>Plantilla Freddy</vt:lpstr>
      <vt:lpstr>Liquidacion Osiris Junadette</vt:lpstr>
      <vt:lpstr>Plantilla Osiris Junadette</vt:lpstr>
      <vt:lpstr>Libro Remuneraciones</vt:lpstr>
      <vt:lpstr>Hoja2</vt:lpstr>
      <vt:lpstr>Hoja3</vt:lpstr>
      <vt:lpstr>'Plantilla Angeliz'!Área_de_impresión</vt:lpstr>
      <vt:lpstr>'Plantilla Carlos'!Área_de_impresión</vt:lpstr>
      <vt:lpstr>'Plantilla Favio'!Área_de_impresión</vt:lpstr>
      <vt:lpstr>'Plantilla Filip'!Área_de_impresión</vt:lpstr>
      <vt:lpstr>'Plantilla Freddy'!Área_de_impresión</vt:lpstr>
      <vt:lpstr>'Plantilla Helena'!Área_de_impresión</vt:lpstr>
      <vt:lpstr>'Plantilla Ingrid'!Área_de_impresión</vt:lpstr>
      <vt:lpstr>'Plantilla Osiris Junadette'!Área_de_impresión</vt:lpstr>
      <vt:lpstr>'Plantilla Rolando'!Área_de_impresión</vt:lpstr>
      <vt:lpstr>'Plantilla Santana'!Área_de_impresión</vt:lpstr>
      <vt:lpstr>'Plantilla Veronica'!Área_de_impresión</vt:lpstr>
      <vt:lpstr>'Plantilla Angeliz'!Print_Area</vt:lpstr>
      <vt:lpstr>'Plantilla Carlos'!Print_Area</vt:lpstr>
      <vt:lpstr>'Plantilla Favio'!Print_Area</vt:lpstr>
      <vt:lpstr>'Plantilla Filip'!Print_Area</vt:lpstr>
      <vt:lpstr>'Plantilla Freddy'!Print_Area</vt:lpstr>
      <vt:lpstr>'Plantilla Helena'!Print_Area</vt:lpstr>
      <vt:lpstr>'Plantilla Ingrid'!Print_Area</vt:lpstr>
      <vt:lpstr>'Plantilla Osiris Junadette'!Print_Area</vt:lpstr>
      <vt:lpstr>'Plantilla Rolando'!Print_Area</vt:lpstr>
      <vt:lpstr>'Plantilla Santana'!Print_Area</vt:lpstr>
      <vt:lpstr>'Plantilla Veronica'!Print_Area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Lorena Becerra</dc:creator>
  <cp:keywords/>
  <dc:description/>
  <cp:lastModifiedBy>SlumberDiex</cp:lastModifiedBy>
  <cp:revision/>
  <cp:lastPrinted>2022-07-12T13:18:01Z</cp:lastPrinted>
  <dcterms:created xsi:type="dcterms:W3CDTF">2016-07-28T16:28:16Z</dcterms:created>
  <dcterms:modified xsi:type="dcterms:W3CDTF">2022-10-19T20:25:11Z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7ed875-cb67-40d7-9ea6-a804b08b1148_Enabled">
    <vt:lpwstr>true</vt:lpwstr>
  </property>
  <property fmtid="{D5CDD505-2E9C-101B-9397-08002B2CF9AE}" pid="3" name="MSIP_Label_9a7ed875-cb67-40d7-9ea6-a804b08b1148_SetDate">
    <vt:lpwstr>2021-11-24T13:26:57Z</vt:lpwstr>
  </property>
  <property fmtid="{D5CDD505-2E9C-101B-9397-08002B2CF9AE}" pid="4" name="MSIP_Label_9a7ed875-cb67-40d7-9ea6-a804b08b1148_Method">
    <vt:lpwstr>Privileged</vt:lpwstr>
  </property>
  <property fmtid="{D5CDD505-2E9C-101B-9397-08002B2CF9AE}" pid="5" name="MSIP_Label_9a7ed875-cb67-40d7-9ea6-a804b08b1148_Name">
    <vt:lpwstr>9a7ed875-cb67-40d7-9ea6-a804b08b1148</vt:lpwstr>
  </property>
  <property fmtid="{D5CDD505-2E9C-101B-9397-08002B2CF9AE}" pid="6" name="MSIP_Label_9a7ed875-cb67-40d7-9ea6-a804b08b1148_SiteId">
    <vt:lpwstr>473672ba-cd07-4371-a2ae-788b4c61840e</vt:lpwstr>
  </property>
  <property fmtid="{D5CDD505-2E9C-101B-9397-08002B2CF9AE}" pid="7" name="MSIP_Label_9a7ed875-cb67-40d7-9ea6-a804b08b1148_ActionId">
    <vt:lpwstr>bb9cb928-78fe-4ea1-9dbe-5de1bce85c33</vt:lpwstr>
  </property>
  <property fmtid="{D5CDD505-2E9C-101B-9397-08002B2CF9AE}" pid="8" name="MSIP_Label_9a7ed875-cb67-40d7-9ea6-a804b08b1148_ContentBits">
    <vt:lpwstr>0</vt:lpwstr>
  </property>
</Properties>
</file>