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388\Desktop\Finance &amp; Economics\Financial Markets data\ROADZEN company analysis\"/>
    </mc:Choice>
  </mc:AlternateContent>
  <bookViews>
    <workbookView xWindow="0" yWindow="0" windowWidth="18750" windowHeight="9855" activeTab="8"/>
  </bookViews>
  <sheets>
    <sheet name="Dashboard" sheetId="11" r:id="rId1"/>
    <sheet name="Scenario Analysis" sheetId="17" r:id="rId2"/>
    <sheet name="BS" sheetId="2" r:id="rId3"/>
    <sheet name="IS" sheetId="1" r:id="rId4"/>
    <sheet name="CF(WIP)" sheetId="3" r:id="rId5"/>
    <sheet name="RA" sheetId="4" r:id="rId6"/>
    <sheet name="DCF" sheetId="5" r:id="rId7"/>
    <sheet name="DCF MONTE CARLO" sheetId="18" r:id="rId8"/>
    <sheet name="ARIMA trend analysis" sheetId="20" r:id="rId9"/>
    <sheet name="RTAGlobal" sheetId="6" state="veryHidden" r:id="rId10"/>
  </sheets>
  <definedNames>
    <definedName name="ARGO__CELLRETURNVALUE">0</definedName>
    <definedName name="ARGO__DISTCOLORKEY">"'128,128,255"</definedName>
    <definedName name="ARGO__INTERPRETER">1</definedName>
    <definedName name="ARGO__LATINHYPERCUBEBINS">1000</definedName>
    <definedName name="ARGO__LOCKRNGSEED">FALSE</definedName>
    <definedName name="ARGO__RESULTCOLORKEY">"'89,217,210"</definedName>
    <definedName name="ARGO__RNGSEED">1</definedName>
    <definedName name="ARGO__SAMPLINGMETHOD">0</definedName>
    <definedName name="ARGO__SIMTRIALS">1000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IS!$G$34</definedName>
    <definedName name="solver_typ" localSheetId="3" hidden="1">1</definedName>
    <definedName name="solver_val" localSheetId="3" hidden="1">0</definedName>
    <definedName name="solver_ver" localSheetId="3" hidden="1">3</definedName>
    <definedName name="worst">'Scenario Analysis'!$O$8</definedName>
  </definedNames>
  <calcPr calcId="162913"/>
</workbook>
</file>

<file path=xl/calcChain.xml><?xml version="1.0" encoding="utf-8"?>
<calcChain xmlns="http://schemas.openxmlformats.org/spreadsheetml/2006/main">
  <c r="F49" i="18" l="1"/>
  <c r="D31" i="18"/>
  <c r="F47" i="5"/>
  <c r="D29" i="5"/>
  <c r="F28" i="5"/>
  <c r="C31" i="11" l="1"/>
  <c r="E31" i="11"/>
  <c r="D31" i="11"/>
  <c r="C30" i="11"/>
  <c r="E30" i="11"/>
  <c r="D30" i="11"/>
  <c r="G9" i="18"/>
  <c r="A53" i="6"/>
  <c r="A63" i="6"/>
  <c r="A33" i="6"/>
  <c r="G14" i="18"/>
  <c r="A83" i="6"/>
  <c r="A38" i="6"/>
  <c r="A78" i="6"/>
  <c r="A73" i="6"/>
  <c r="A58" i="6"/>
  <c r="A43" i="6"/>
  <c r="A28" i="6"/>
  <c r="A125" i="6"/>
  <c r="A68" i="6"/>
  <c r="A48" i="6"/>
  <c r="B81" i="6"/>
  <c r="B56" i="6"/>
  <c r="B98" i="6"/>
  <c r="B36" i="6"/>
  <c r="B117" i="6"/>
  <c r="B135" i="6"/>
  <c r="B155" i="6"/>
  <c r="B126" i="6"/>
  <c r="B127" i="6"/>
  <c r="B111" i="6"/>
  <c r="B142" i="6"/>
  <c r="B146" i="6"/>
  <c r="B72" i="6"/>
  <c r="B95" i="6"/>
  <c r="B100" i="6"/>
  <c r="B60" i="6"/>
  <c r="B19" i="6"/>
  <c r="B22" i="6"/>
  <c r="B128" i="6"/>
  <c r="B139" i="6"/>
  <c r="B123" i="6"/>
  <c r="B99" i="6"/>
  <c r="B13" i="6"/>
  <c r="B18" i="6"/>
  <c r="B63" i="6"/>
  <c r="B131" i="6"/>
  <c r="B124" i="6"/>
  <c r="B147" i="6"/>
  <c r="B15" i="6"/>
  <c r="B8" i="6"/>
  <c r="B91" i="6"/>
  <c r="B92" i="6"/>
  <c r="B20" i="6"/>
  <c r="B58" i="6"/>
  <c r="B97" i="6"/>
  <c r="B88" i="6"/>
  <c r="B114" i="6"/>
  <c r="B52" i="6"/>
  <c r="B133" i="6"/>
  <c r="B74" i="6"/>
  <c r="B26" i="6"/>
  <c r="B68" i="6"/>
  <c r="B149" i="6"/>
  <c r="B24" i="6"/>
  <c r="B11" i="6"/>
  <c r="B94" i="6"/>
  <c r="B152" i="6"/>
  <c r="B84" i="6"/>
  <c r="B45" i="6"/>
  <c r="B75" i="6"/>
  <c r="B25" i="6"/>
  <c r="B6" i="6"/>
  <c r="B79" i="6"/>
  <c r="B62" i="6"/>
  <c r="B116" i="6"/>
  <c r="B136" i="6"/>
  <c r="B28" i="6"/>
  <c r="B2" i="6"/>
  <c r="B137" i="6"/>
  <c r="B48" i="6"/>
  <c r="B34" i="6"/>
  <c r="B32" i="6"/>
  <c r="B69" i="6"/>
  <c r="B4" i="6"/>
  <c r="B76" i="6"/>
  <c r="B101" i="6"/>
  <c r="B112" i="6"/>
  <c r="B43" i="6"/>
  <c r="B113" i="6"/>
  <c r="B120" i="6"/>
  <c r="B130" i="6"/>
  <c r="B16" i="6"/>
  <c r="B93" i="6"/>
  <c r="B3" i="6"/>
  <c r="B104" i="6"/>
  <c r="B143" i="6"/>
  <c r="B122" i="6"/>
  <c r="B42" i="6"/>
  <c r="B21" i="6"/>
  <c r="B31" i="6"/>
  <c r="B118" i="6"/>
  <c r="B134" i="6"/>
  <c r="B50" i="6"/>
  <c r="B44" i="6"/>
  <c r="B78" i="6"/>
  <c r="B82" i="6"/>
  <c r="B129" i="6"/>
  <c r="B145" i="6"/>
  <c r="B57" i="6"/>
  <c r="B7" i="6"/>
  <c r="B89" i="6"/>
  <c r="B35" i="6"/>
  <c r="B132" i="6"/>
  <c r="B38" i="6"/>
  <c r="B12" i="6"/>
  <c r="B27" i="6"/>
  <c r="B110" i="6"/>
  <c r="B29" i="6"/>
  <c r="B67" i="6"/>
  <c r="B80" i="6"/>
  <c r="B83" i="6"/>
  <c r="B154" i="6"/>
  <c r="B105" i="6"/>
  <c r="B47" i="6"/>
  <c r="B115" i="6"/>
  <c r="B90" i="6"/>
  <c r="B10" i="6"/>
  <c r="B151" i="6"/>
  <c r="B14" i="6"/>
  <c r="B66" i="6"/>
  <c r="B64" i="6"/>
  <c r="B59" i="6"/>
  <c r="B39" i="6"/>
  <c r="B121" i="6"/>
  <c r="B51" i="6"/>
  <c r="B148" i="6"/>
  <c r="B54" i="6"/>
  <c r="B9" i="6"/>
  <c r="B46" i="6"/>
  <c r="B61" i="6"/>
  <c r="B144" i="6"/>
  <c r="B106" i="6"/>
  <c r="B153" i="6"/>
  <c r="B70" i="6"/>
  <c r="B41" i="6"/>
  <c r="B138" i="6"/>
  <c r="B77" i="6"/>
  <c r="B30" i="6"/>
  <c r="B5" i="6"/>
  <c r="B86" i="6"/>
  <c r="B73" i="6"/>
  <c r="B107" i="6"/>
  <c r="B102" i="6"/>
  <c r="B96" i="6"/>
  <c r="B103" i="6"/>
  <c r="B37" i="6"/>
  <c r="B108" i="6"/>
  <c r="B119" i="6"/>
  <c r="B53" i="6"/>
  <c r="B140" i="6"/>
  <c r="B125" i="6"/>
  <c r="B150" i="6"/>
  <c r="B109" i="6"/>
  <c r="B85" i="6"/>
  <c r="B40" i="6"/>
  <c r="B23" i="6"/>
  <c r="B141" i="6"/>
  <c r="B55" i="6"/>
  <c r="B71" i="6"/>
  <c r="B87" i="6"/>
  <c r="B1" i="6"/>
  <c r="B17" i="6"/>
  <c r="B33" i="6"/>
  <c r="B49" i="6"/>
  <c r="B65" i="6"/>
  <c r="N16" i="18" l="1"/>
  <c r="H14" i="18"/>
  <c r="F15" i="18"/>
  <c r="I14" i="18"/>
  <c r="B93" i="18"/>
  <c r="C91" i="18"/>
  <c r="N89" i="18"/>
  <c r="M89" i="18"/>
  <c r="G89" i="18"/>
  <c r="B80" i="18"/>
  <c r="S76" i="18"/>
  <c r="S74" i="18"/>
  <c r="S72" i="18"/>
  <c r="S70" i="18"/>
  <c r="D57" i="18"/>
  <c r="T47" i="18"/>
  <c r="U47" i="18" s="1"/>
  <c r="V47" i="18" s="1"/>
  <c r="W47" i="18" s="1"/>
  <c r="X47" i="18" s="1"/>
  <c r="Y47" i="18" s="1"/>
  <c r="Z47" i="18" s="1"/>
  <c r="AA47" i="18" s="1"/>
  <c r="AB47" i="18" s="1"/>
  <c r="AC47" i="18" s="1"/>
  <c r="AD47" i="18" s="1"/>
  <c r="AE47" i="18" s="1"/>
  <c r="AF47" i="18" s="1"/>
  <c r="AG47" i="18" s="1"/>
  <c r="AH47" i="18" s="1"/>
  <c r="AI47" i="18" s="1"/>
  <c r="AJ47" i="18" s="1"/>
  <c r="AK47" i="18" s="1"/>
  <c r="AL47" i="18" s="1"/>
  <c r="AM47" i="18" s="1"/>
  <c r="AN47" i="18" s="1"/>
  <c r="AO47" i="18" s="1"/>
  <c r="AP47" i="18" s="1"/>
  <c r="AQ47" i="18" s="1"/>
  <c r="AR47" i="18" s="1"/>
  <c r="AS47" i="18" s="1"/>
  <c r="AT47" i="18" s="1"/>
  <c r="AU47" i="18" s="1"/>
  <c r="AV47" i="18" s="1"/>
  <c r="AW47" i="18" s="1"/>
  <c r="AX47" i="18" s="1"/>
  <c r="AY47" i="18" s="1"/>
  <c r="AZ47" i="18" s="1"/>
  <c r="BA47" i="18" s="1"/>
  <c r="BB47" i="18" s="1"/>
  <c r="BC47" i="18" s="1"/>
  <c r="BD47" i="18" s="1"/>
  <c r="BE47" i="18" s="1"/>
  <c r="BF47" i="18" s="1"/>
  <c r="BG47" i="18" s="1"/>
  <c r="BH47" i="18" s="1"/>
  <c r="BI47" i="18" s="1"/>
  <c r="BJ47" i="18" s="1"/>
  <c r="BK47" i="18" s="1"/>
  <c r="BL47" i="18" s="1"/>
  <c r="BM47" i="18" s="1"/>
  <c r="BN47" i="18" s="1"/>
  <c r="BO47" i="18" s="1"/>
  <c r="BP47" i="18" s="1"/>
  <c r="BQ47" i="18" s="1"/>
  <c r="BR47" i="18" s="1"/>
  <c r="BS47" i="18" s="1"/>
  <c r="BT47" i="18" s="1"/>
  <c r="BU47" i="18" s="1"/>
  <c r="BV47" i="18" s="1"/>
  <c r="BW47" i="18" s="1"/>
  <c r="BX47" i="18" s="1"/>
  <c r="BY47" i="18" s="1"/>
  <c r="BZ47" i="18" s="1"/>
  <c r="CA47" i="18" s="1"/>
  <c r="CB47" i="18" s="1"/>
  <c r="CC47" i="18" s="1"/>
  <c r="CD47" i="18" s="1"/>
  <c r="CE47" i="18" s="1"/>
  <c r="CF47" i="18" s="1"/>
  <c r="CG47" i="18" s="1"/>
  <c r="CH47" i="18" s="1"/>
  <c r="CI47" i="18" s="1"/>
  <c r="CJ47" i="18" s="1"/>
  <c r="CK47" i="18" s="1"/>
  <c r="CL47" i="18" s="1"/>
  <c r="CM47" i="18" s="1"/>
  <c r="CN47" i="18" s="1"/>
  <c r="D41" i="18"/>
  <c r="D44" i="18" s="1"/>
  <c r="H40" i="18"/>
  <c r="I44" i="18" s="1"/>
  <c r="D40" i="18"/>
  <c r="D36" i="18"/>
  <c r="L35" i="18"/>
  <c r="H31" i="18"/>
  <c r="A5" i="6"/>
  <c r="L72" i="18"/>
  <c r="L76" i="18"/>
  <c r="A81" i="6"/>
  <c r="A82" i="6" s="1"/>
  <c r="J14" i="18" l="1"/>
  <c r="E57" i="18"/>
  <c r="H52" i="18"/>
  <c r="L73" i="18"/>
  <c r="G32" i="18"/>
  <c r="I31" i="18"/>
  <c r="I40" i="18"/>
  <c r="I42" i="18"/>
  <c r="G31" i="18"/>
  <c r="F56" i="18"/>
  <c r="H56" i="18"/>
  <c r="E28" i="11"/>
  <c r="C28" i="11"/>
  <c r="D28" i="11"/>
  <c r="N87" i="5"/>
  <c r="M87" i="5"/>
  <c r="T45" i="5"/>
  <c r="U45" i="5" s="1"/>
  <c r="V45" i="5" s="1"/>
  <c r="W45" i="5" s="1"/>
  <c r="X45" i="5" s="1"/>
  <c r="Y45" i="5" s="1"/>
  <c r="Z45" i="5" s="1"/>
  <c r="AA45" i="5" s="1"/>
  <c r="AB45" i="5" s="1"/>
  <c r="AC45" i="5" s="1"/>
  <c r="AD45" i="5" s="1"/>
  <c r="AE45" i="5" s="1"/>
  <c r="AF45" i="5" s="1"/>
  <c r="AG45" i="5" s="1"/>
  <c r="AH45" i="5" s="1"/>
  <c r="AI45" i="5" s="1"/>
  <c r="AJ45" i="5" s="1"/>
  <c r="AK45" i="5" s="1"/>
  <c r="AL45" i="5" s="1"/>
  <c r="AM45" i="5" s="1"/>
  <c r="AN45" i="5" s="1"/>
  <c r="AO45" i="5" s="1"/>
  <c r="AP45" i="5" s="1"/>
  <c r="AQ45" i="5" s="1"/>
  <c r="AR45" i="5" s="1"/>
  <c r="AS45" i="5" s="1"/>
  <c r="AT45" i="5" s="1"/>
  <c r="AU45" i="5" s="1"/>
  <c r="AV45" i="5" s="1"/>
  <c r="AW45" i="5" s="1"/>
  <c r="AX45" i="5" s="1"/>
  <c r="AY45" i="5" s="1"/>
  <c r="AZ45" i="5" s="1"/>
  <c r="BA45" i="5" s="1"/>
  <c r="BB45" i="5" s="1"/>
  <c r="BC45" i="5" s="1"/>
  <c r="BD45" i="5" s="1"/>
  <c r="BE45" i="5" s="1"/>
  <c r="BF45" i="5" s="1"/>
  <c r="BG45" i="5" s="1"/>
  <c r="BH45" i="5" s="1"/>
  <c r="BI45" i="5" s="1"/>
  <c r="BJ45" i="5" s="1"/>
  <c r="BK45" i="5" s="1"/>
  <c r="BL45" i="5" s="1"/>
  <c r="BM45" i="5" s="1"/>
  <c r="BN45" i="5" s="1"/>
  <c r="BO45" i="5" s="1"/>
  <c r="BP45" i="5" s="1"/>
  <c r="BQ45" i="5" s="1"/>
  <c r="BR45" i="5" s="1"/>
  <c r="BS45" i="5" s="1"/>
  <c r="BT45" i="5" s="1"/>
  <c r="BU45" i="5" s="1"/>
  <c r="BV45" i="5" s="1"/>
  <c r="BW45" i="5" s="1"/>
  <c r="BX45" i="5" s="1"/>
  <c r="BY45" i="5" s="1"/>
  <c r="BZ45" i="5" s="1"/>
  <c r="CA45" i="5" s="1"/>
  <c r="CB45" i="5" s="1"/>
  <c r="CC45" i="5" s="1"/>
  <c r="CD45" i="5" s="1"/>
  <c r="CE45" i="5" s="1"/>
  <c r="CF45" i="5" s="1"/>
  <c r="CG45" i="5" s="1"/>
  <c r="CH45" i="5" s="1"/>
  <c r="CI45" i="5" s="1"/>
  <c r="CJ45" i="5" s="1"/>
  <c r="CK45" i="5" s="1"/>
  <c r="CL45" i="5" s="1"/>
  <c r="CM45" i="5" s="1"/>
  <c r="CN45" i="5" s="1"/>
  <c r="A4" i="6"/>
  <c r="I47" i="18" l="1"/>
  <c r="I15" i="18"/>
  <c r="L75" i="18"/>
  <c r="E35" i="1"/>
  <c r="L77" i="18"/>
  <c r="A3" i="6"/>
  <c r="D39" i="5" l="1"/>
  <c r="J46" i="17"/>
  <c r="K46" i="17"/>
  <c r="L46" i="17"/>
  <c r="M46" i="17"/>
  <c r="I46" i="17"/>
  <c r="H10" i="1" s="1"/>
  <c r="I10" i="2"/>
  <c r="J10" i="2" s="1"/>
  <c r="K10" i="2" s="1"/>
  <c r="L10" i="2" s="1"/>
  <c r="M10" i="2" s="1"/>
  <c r="I42" i="17"/>
  <c r="H7" i="1" s="1"/>
  <c r="J42" i="17"/>
  <c r="K42" i="17"/>
  <c r="L42" i="17"/>
  <c r="M42" i="17"/>
  <c r="I43" i="17"/>
  <c r="J43" i="17"/>
  <c r="K43" i="17"/>
  <c r="L43" i="17"/>
  <c r="M43" i="17"/>
  <c r="I44" i="17"/>
  <c r="I14" i="2" s="1"/>
  <c r="J44" i="17"/>
  <c r="K44" i="17"/>
  <c r="L44" i="17"/>
  <c r="M44" i="17"/>
  <c r="I45" i="17"/>
  <c r="J45" i="17"/>
  <c r="K45" i="17"/>
  <c r="L45" i="17"/>
  <c r="M45" i="17"/>
  <c r="J41" i="17"/>
  <c r="K41" i="17"/>
  <c r="L41" i="17"/>
  <c r="M41" i="17"/>
  <c r="I41" i="17"/>
  <c r="H6" i="1" s="1"/>
  <c r="L74" i="5"/>
  <c r="L70" i="5"/>
  <c r="H11" i="1" l="1"/>
  <c r="I11" i="1" s="1"/>
  <c r="J11" i="1" s="1"/>
  <c r="K11" i="1" s="1"/>
  <c r="L11" i="1" s="1"/>
  <c r="I10" i="1"/>
  <c r="J10" i="1" s="1"/>
  <c r="K10" i="1" s="1"/>
  <c r="L10" i="1" s="1"/>
  <c r="I7" i="1"/>
  <c r="J7" i="1" s="1"/>
  <c r="K7" i="1" s="1"/>
  <c r="L7" i="1" s="1"/>
  <c r="J14" i="2"/>
  <c r="K14" i="2" s="1"/>
  <c r="L14" i="2" s="1"/>
  <c r="M14" i="2" s="1"/>
  <c r="D34" i="5"/>
  <c r="G42" i="11"/>
  <c r="G40" i="11"/>
  <c r="J6" i="17"/>
  <c r="K6" i="17"/>
  <c r="L6" i="17"/>
  <c r="M6" i="17"/>
  <c r="I6" i="17"/>
  <c r="E26" i="11"/>
  <c r="E25" i="11"/>
  <c r="C25" i="11"/>
  <c r="E24" i="11"/>
  <c r="C24" i="11"/>
  <c r="D24" i="11" l="1"/>
  <c r="D25" i="11"/>
  <c r="B78" i="5"/>
  <c r="C11" i="11" s="1"/>
  <c r="B91" i="5"/>
  <c r="C12" i="11" s="1"/>
  <c r="C89" i="5"/>
  <c r="G87" i="5"/>
  <c r="H26" i="3" l="1"/>
  <c r="S74" i="5"/>
  <c r="H50" i="5" s="1"/>
  <c r="S72" i="5"/>
  <c r="A112" i="6"/>
  <c r="F19" i="18" l="1"/>
  <c r="H54" i="5"/>
  <c r="C26" i="11"/>
  <c r="D26" i="11" s="1"/>
  <c r="S68" i="5"/>
  <c r="S70" i="5"/>
  <c r="H10" i="3"/>
  <c r="G18" i="1"/>
  <c r="I16" i="2"/>
  <c r="H58" i="1"/>
  <c r="H54" i="1"/>
  <c r="I26" i="1"/>
  <c r="J26" i="1"/>
  <c r="K26" i="1"/>
  <c r="L26" i="1"/>
  <c r="H26" i="1"/>
  <c r="H38" i="5"/>
  <c r="I42" i="5" s="1"/>
  <c r="H29" i="5"/>
  <c r="G30" i="5" s="1"/>
  <c r="I54" i="1" l="1"/>
  <c r="I56" i="1" s="1"/>
  <c r="F54" i="5"/>
  <c r="H56" i="1"/>
  <c r="H18" i="1"/>
  <c r="I29" i="5"/>
  <c r="G29" i="5"/>
  <c r="I10" i="3"/>
  <c r="J10" i="3" s="1"/>
  <c r="I38" i="5"/>
  <c r="I40" i="5"/>
  <c r="J16" i="2"/>
  <c r="K16" i="2" s="1"/>
  <c r="G27" i="1"/>
  <c r="A153" i="6"/>
  <c r="A15" i="6"/>
  <c r="F13" i="18" l="1"/>
  <c r="D37" i="18"/>
  <c r="D59" i="18"/>
  <c r="E59" i="18" s="1"/>
  <c r="J54" i="1"/>
  <c r="K54" i="1" s="1"/>
  <c r="L54" i="1" s="1"/>
  <c r="K10" i="3"/>
  <c r="L10" i="3" s="1"/>
  <c r="I45" i="5"/>
  <c r="I18" i="1"/>
  <c r="L16" i="2"/>
  <c r="M16" i="2" s="1"/>
  <c r="G19" i="1"/>
  <c r="N48" i="18" s="1"/>
  <c r="D35" i="5"/>
  <c r="D45" i="5" s="1"/>
  <c r="D46" i="5" s="1"/>
  <c r="D49" i="5" s="1"/>
  <c r="D38" i="5"/>
  <c r="D42" i="5"/>
  <c r="D55" i="5"/>
  <c r="I30" i="2"/>
  <c r="J30" i="2" s="1"/>
  <c r="K30" i="2" s="1"/>
  <c r="L30" i="2" s="1"/>
  <c r="M30" i="2" s="1"/>
  <c r="H37" i="2"/>
  <c r="G31" i="2"/>
  <c r="F31" i="2"/>
  <c r="H27" i="2"/>
  <c r="I13" i="2"/>
  <c r="J13" i="2" s="1"/>
  <c r="K13" i="2" s="1"/>
  <c r="L13" i="2" s="1"/>
  <c r="M13" i="2" s="1"/>
  <c r="I15" i="2"/>
  <c r="J15" i="2" s="1"/>
  <c r="K15" i="2" s="1"/>
  <c r="L15" i="2" s="1"/>
  <c r="M15" i="2" s="1"/>
  <c r="I7" i="2"/>
  <c r="J7" i="2" s="1"/>
  <c r="K7" i="2" s="1"/>
  <c r="L7" i="2" s="1"/>
  <c r="M7" i="2" s="1"/>
  <c r="F34" i="1"/>
  <c r="F33" i="1" s="1"/>
  <c r="G34" i="1"/>
  <c r="G35" i="1"/>
  <c r="E34" i="1"/>
  <c r="G12" i="1"/>
  <c r="H12" i="1" s="1"/>
  <c r="I12" i="1" s="1"/>
  <c r="J12" i="1" s="1"/>
  <c r="K12" i="1" s="1"/>
  <c r="L12" i="1" s="1"/>
  <c r="F14" i="1"/>
  <c r="E14" i="1"/>
  <c r="G8" i="1"/>
  <c r="F10" i="1"/>
  <c r="F11" i="1"/>
  <c r="A16" i="6"/>
  <c r="A148" i="6"/>
  <c r="D47" i="18" l="1"/>
  <c r="J18" i="1"/>
  <c r="G13" i="18"/>
  <c r="L71" i="5"/>
  <c r="E55" i="5"/>
  <c r="H39" i="4"/>
  <c r="N46" i="5"/>
  <c r="J56" i="1"/>
  <c r="E33" i="1"/>
  <c r="E46" i="1" s="1"/>
  <c r="K56" i="1"/>
  <c r="L56" i="1"/>
  <c r="G33" i="1"/>
  <c r="H33" i="1" s="1"/>
  <c r="I33" i="1" s="1"/>
  <c r="J33" i="1" s="1"/>
  <c r="K33" i="1" s="1"/>
  <c r="L33" i="1" s="1"/>
  <c r="D48" i="5"/>
  <c r="F46" i="5" s="1"/>
  <c r="I31" i="2"/>
  <c r="H31" i="2"/>
  <c r="D57" i="5"/>
  <c r="E57" i="5" s="1"/>
  <c r="H35" i="4"/>
  <c r="G35" i="4"/>
  <c r="F35" i="4"/>
  <c r="H31" i="4"/>
  <c r="H32" i="4" s="1"/>
  <c r="G31" i="4"/>
  <c r="G32" i="4" s="1"/>
  <c r="F31" i="4"/>
  <c r="F32" i="4" s="1"/>
  <c r="H21" i="4"/>
  <c r="H22" i="4" s="1"/>
  <c r="G21" i="4"/>
  <c r="G22" i="4" s="1"/>
  <c r="F21" i="4"/>
  <c r="F22" i="4" s="1"/>
  <c r="H17" i="4"/>
  <c r="H18" i="4" s="1"/>
  <c r="G17" i="4"/>
  <c r="G18" i="4" s="1"/>
  <c r="F17" i="4"/>
  <c r="F18" i="4" s="1"/>
  <c r="H44" i="3"/>
  <c r="G42" i="3"/>
  <c r="F42" i="3"/>
  <c r="E42" i="3"/>
  <c r="H41" i="3"/>
  <c r="H40" i="3"/>
  <c r="H39" i="3"/>
  <c r="H38" i="3"/>
  <c r="I38" i="3" s="1"/>
  <c r="H37" i="3"/>
  <c r="I37" i="3" s="1"/>
  <c r="H36" i="3"/>
  <c r="G33" i="3"/>
  <c r="F33" i="3"/>
  <c r="E33" i="3"/>
  <c r="H32" i="3"/>
  <c r="I32" i="3" s="1"/>
  <c r="J32" i="3" s="1"/>
  <c r="H31" i="3"/>
  <c r="H30" i="3"/>
  <c r="H29" i="3"/>
  <c r="H28" i="3"/>
  <c r="H27" i="3"/>
  <c r="I27" i="3" s="1"/>
  <c r="J27" i="3" s="1"/>
  <c r="K27" i="3" s="1"/>
  <c r="L27" i="3" s="1"/>
  <c r="G22" i="3"/>
  <c r="F22" i="3"/>
  <c r="E22" i="3"/>
  <c r="H21" i="3"/>
  <c r="H20" i="3"/>
  <c r="H19" i="3"/>
  <c r="H18" i="3"/>
  <c r="H17" i="3"/>
  <c r="H16" i="3"/>
  <c r="H15" i="3"/>
  <c r="H14" i="3"/>
  <c r="H12" i="3"/>
  <c r="H11" i="3"/>
  <c r="H9" i="3"/>
  <c r="H33" i="4"/>
  <c r="H34" i="4" s="1"/>
  <c r="F33" i="4"/>
  <c r="F34" i="4" s="1"/>
  <c r="I35" i="2"/>
  <c r="J35" i="2" s="1"/>
  <c r="K35" i="2" s="1"/>
  <c r="I34" i="2"/>
  <c r="I29" i="2"/>
  <c r="I28" i="2"/>
  <c r="H9" i="4"/>
  <c r="G9" i="4"/>
  <c r="F9" i="4"/>
  <c r="I26" i="2"/>
  <c r="I25" i="2"/>
  <c r="I24" i="2"/>
  <c r="J24" i="2" s="1"/>
  <c r="K24" i="2" s="1"/>
  <c r="I23" i="2"/>
  <c r="I22" i="2"/>
  <c r="I18" i="2"/>
  <c r="I17" i="2"/>
  <c r="J17" i="2" s="1"/>
  <c r="H12" i="2"/>
  <c r="H19" i="2" s="1"/>
  <c r="G12" i="2"/>
  <c r="G19" i="2" s="1"/>
  <c r="F12" i="2"/>
  <c r="F19" i="2" s="1"/>
  <c r="I11" i="2"/>
  <c r="I9" i="2"/>
  <c r="G47" i="1"/>
  <c r="F47" i="1"/>
  <c r="E47" i="1"/>
  <c r="G44" i="1"/>
  <c r="F44" i="1"/>
  <c r="E44" i="1"/>
  <c r="G42" i="1"/>
  <c r="F42" i="1"/>
  <c r="E42" i="1"/>
  <c r="G41" i="1"/>
  <c r="F41" i="1"/>
  <c r="E41" i="1"/>
  <c r="G40" i="1"/>
  <c r="F40" i="1"/>
  <c r="E40" i="1"/>
  <c r="G38" i="1"/>
  <c r="F38" i="1"/>
  <c r="E38" i="1"/>
  <c r="F46" i="1"/>
  <c r="G31" i="1"/>
  <c r="F31" i="1"/>
  <c r="H29" i="1"/>
  <c r="I29" i="1" s="1"/>
  <c r="H16" i="1"/>
  <c r="H19" i="4"/>
  <c r="H20" i="4" s="1"/>
  <c r="F8" i="1"/>
  <c r="E8" i="1"/>
  <c r="F19" i="4" s="1"/>
  <c r="F20" i="4" s="1"/>
  <c r="A77" i="6"/>
  <c r="A52" i="6"/>
  <c r="A62" i="6"/>
  <c r="A67" i="6"/>
  <c r="A114" i="6"/>
  <c r="A14" i="6"/>
  <c r="A27" i="6"/>
  <c r="A2" i="6"/>
  <c r="A32" i="6"/>
  <c r="A37" i="6"/>
  <c r="A47" i="6"/>
  <c r="A57" i="6"/>
  <c r="A72" i="6"/>
  <c r="A143" i="6"/>
  <c r="A116" i="6"/>
  <c r="A42" i="6"/>
  <c r="D48" i="18" l="1"/>
  <c r="H13" i="18"/>
  <c r="K18" i="1"/>
  <c r="F10" i="5"/>
  <c r="F11" i="18"/>
  <c r="C33" i="11"/>
  <c r="G44" i="11"/>
  <c r="I26" i="3"/>
  <c r="H14" i="1"/>
  <c r="G46" i="1"/>
  <c r="I27" i="2"/>
  <c r="J34" i="2"/>
  <c r="K34" i="2" s="1"/>
  <c r="L34" i="2" s="1"/>
  <c r="M34" i="2" s="1"/>
  <c r="F20" i="2"/>
  <c r="G20" i="2"/>
  <c r="L35" i="2"/>
  <c r="M35" i="2" s="1"/>
  <c r="J31" i="2"/>
  <c r="E15" i="1"/>
  <c r="E17" i="1" s="1"/>
  <c r="E19" i="1" s="1"/>
  <c r="L48" i="18" s="1"/>
  <c r="G39" i="1"/>
  <c r="F15" i="1"/>
  <c r="F43" i="1" s="1"/>
  <c r="G15" i="1"/>
  <c r="G43" i="1" s="1"/>
  <c r="I33" i="4"/>
  <c r="I34" i="4" s="1"/>
  <c r="J11" i="2"/>
  <c r="K11" i="2" s="1"/>
  <c r="L11" i="2" s="1"/>
  <c r="M11" i="2" s="1"/>
  <c r="I15" i="3"/>
  <c r="I30" i="3"/>
  <c r="J30" i="3" s="1"/>
  <c r="K30" i="3" s="1"/>
  <c r="L30" i="3" s="1"/>
  <c r="H42" i="1"/>
  <c r="I17" i="3"/>
  <c r="I31" i="3"/>
  <c r="J31" i="3" s="1"/>
  <c r="J25" i="2"/>
  <c r="K25" i="2" s="1"/>
  <c r="I18" i="3"/>
  <c r="I9" i="3"/>
  <c r="I12" i="2"/>
  <c r="I11" i="3"/>
  <c r="K17" i="2"/>
  <c r="L17" i="2" s="1"/>
  <c r="M17" i="2" s="1"/>
  <c r="G12" i="4"/>
  <c r="I12" i="3"/>
  <c r="I14" i="3"/>
  <c r="I19" i="3"/>
  <c r="I28" i="3"/>
  <c r="F12" i="5"/>
  <c r="H44" i="1"/>
  <c r="I31" i="4"/>
  <c r="I32" i="4" s="1"/>
  <c r="H41" i="1"/>
  <c r="H31" i="1"/>
  <c r="J29" i="2"/>
  <c r="K29" i="2" s="1"/>
  <c r="J35" i="4"/>
  <c r="H40" i="1"/>
  <c r="I16" i="1"/>
  <c r="J16" i="1" s="1"/>
  <c r="K16" i="1" s="1"/>
  <c r="L16" i="1" s="1"/>
  <c r="J23" i="2"/>
  <c r="J22" i="2"/>
  <c r="H22" i="3"/>
  <c r="F23" i="4"/>
  <c r="F24" i="4" s="1"/>
  <c r="F13" i="4"/>
  <c r="F11" i="4"/>
  <c r="G33" i="4"/>
  <c r="G34" i="4" s="1"/>
  <c r="J26" i="2"/>
  <c r="K26" i="2" s="1"/>
  <c r="I29" i="3"/>
  <c r="J29" i="3" s="1"/>
  <c r="F7" i="4"/>
  <c r="F8" i="4"/>
  <c r="G7" i="4"/>
  <c r="G8" i="4"/>
  <c r="G19" i="4"/>
  <c r="G20" i="4" s="1"/>
  <c r="F39" i="1"/>
  <c r="H8" i="1"/>
  <c r="J9" i="2"/>
  <c r="J28" i="2"/>
  <c r="K32" i="3"/>
  <c r="L32" i="3" s="1"/>
  <c r="I21" i="3"/>
  <c r="H8" i="4"/>
  <c r="H7" i="4"/>
  <c r="H38" i="1"/>
  <c r="H33" i="3"/>
  <c r="F17" i="5"/>
  <c r="H47" i="1"/>
  <c r="J18" i="2"/>
  <c r="K18" i="2" s="1"/>
  <c r="E39" i="1"/>
  <c r="L24" i="2"/>
  <c r="M24" i="2" s="1"/>
  <c r="H36" i="4"/>
  <c r="I20" i="3"/>
  <c r="J38" i="3"/>
  <c r="K38" i="3" s="1"/>
  <c r="I17" i="4"/>
  <c r="I18" i="4" s="1"/>
  <c r="I21" i="4"/>
  <c r="I22" i="4" s="1"/>
  <c r="I35" i="4"/>
  <c r="F36" i="4"/>
  <c r="J29" i="1"/>
  <c r="I39" i="3"/>
  <c r="J39" i="3" s="1"/>
  <c r="I36" i="3"/>
  <c r="J36" i="3" s="1"/>
  <c r="H42" i="3"/>
  <c r="I40" i="3"/>
  <c r="J40" i="3" s="1"/>
  <c r="J37" i="3"/>
  <c r="K37" i="3" s="1"/>
  <c r="I44" i="3"/>
  <c r="J44" i="3" s="1"/>
  <c r="I16" i="3"/>
  <c r="I41" i="3"/>
  <c r="J41" i="3" s="1"/>
  <c r="K41" i="3" s="1"/>
  <c r="A26" i="6"/>
  <c r="A61" i="6"/>
  <c r="A56" i="6"/>
  <c r="A66" i="6"/>
  <c r="A8" i="6"/>
  <c r="A105" i="6"/>
  <c r="A46" i="6"/>
  <c r="A51" i="6"/>
  <c r="A41" i="6"/>
  <c r="A76" i="6"/>
  <c r="A108" i="6"/>
  <c r="A106" i="6"/>
  <c r="A31" i="6"/>
  <c r="A71" i="6"/>
  <c r="A138" i="6"/>
  <c r="A115" i="6"/>
  <c r="A17" i="6"/>
  <c r="A117" i="6"/>
  <c r="A36" i="6"/>
  <c r="A155" i="6"/>
  <c r="L18" i="1" l="1"/>
  <c r="J13" i="18" s="1"/>
  <c r="D51" i="18"/>
  <c r="I13" i="18"/>
  <c r="D50" i="18"/>
  <c r="F18" i="18"/>
  <c r="J14" i="3"/>
  <c r="F17" i="18"/>
  <c r="G10" i="5"/>
  <c r="G11" i="18"/>
  <c r="J26" i="3"/>
  <c r="G19" i="18"/>
  <c r="E7" i="3"/>
  <c r="E23" i="3" s="1"/>
  <c r="L46" i="5"/>
  <c r="F20" i="5"/>
  <c r="D51" i="5"/>
  <c r="D28" i="5"/>
  <c r="J20" i="5"/>
  <c r="I20" i="5"/>
  <c r="H20" i="5"/>
  <c r="G20" i="5"/>
  <c r="I14" i="1"/>
  <c r="I44" i="1"/>
  <c r="L31" i="2"/>
  <c r="K31" i="2"/>
  <c r="G36" i="4"/>
  <c r="F17" i="1"/>
  <c r="F19" i="1" s="1"/>
  <c r="E43" i="1"/>
  <c r="F14" i="4"/>
  <c r="J12" i="3"/>
  <c r="I7" i="4"/>
  <c r="H15" i="4"/>
  <c r="G17" i="1"/>
  <c r="I8" i="4"/>
  <c r="H46" i="1"/>
  <c r="J20" i="3"/>
  <c r="I9" i="4"/>
  <c r="K36" i="3"/>
  <c r="L36" i="3" s="1"/>
  <c r="J18" i="3"/>
  <c r="G17" i="5"/>
  <c r="J11" i="3"/>
  <c r="I19" i="2"/>
  <c r="I37" i="2" s="1"/>
  <c r="J21" i="4"/>
  <c r="J22" i="4" s="1"/>
  <c r="K40" i="3"/>
  <c r="L40" i="3" s="1"/>
  <c r="I33" i="3"/>
  <c r="K29" i="3"/>
  <c r="L29" i="3" s="1"/>
  <c r="F15" i="5"/>
  <c r="I22" i="3"/>
  <c r="J17" i="3"/>
  <c r="G37" i="2"/>
  <c r="J16" i="3"/>
  <c r="J15" i="3"/>
  <c r="K22" i="2"/>
  <c r="L22" i="2" s="1"/>
  <c r="L25" i="2"/>
  <c r="M25" i="2" s="1"/>
  <c r="K31" i="3"/>
  <c r="L31" i="3" s="1"/>
  <c r="K9" i="2"/>
  <c r="L9" i="2" s="1"/>
  <c r="J21" i="3"/>
  <c r="J17" i="4"/>
  <c r="J18" i="4" s="1"/>
  <c r="J9" i="3"/>
  <c r="F16" i="5"/>
  <c r="L29" i="2"/>
  <c r="M29" i="2" s="1"/>
  <c r="L26" i="2"/>
  <c r="M26" i="2" s="1"/>
  <c r="K29" i="1"/>
  <c r="L29" i="1" s="1"/>
  <c r="I40" i="1"/>
  <c r="F12" i="4"/>
  <c r="F37" i="2"/>
  <c r="H12" i="4"/>
  <c r="K28" i="2"/>
  <c r="L28" i="2" s="1"/>
  <c r="M28" i="2" s="1"/>
  <c r="J12" i="2"/>
  <c r="F28" i="4"/>
  <c r="F26" i="4"/>
  <c r="F40" i="4" s="1"/>
  <c r="F42" i="4"/>
  <c r="F43" i="4" s="1"/>
  <c r="F39" i="4"/>
  <c r="F27" i="4"/>
  <c r="E22" i="1"/>
  <c r="F30" i="4" s="1"/>
  <c r="E45" i="1"/>
  <c r="E23" i="1"/>
  <c r="K39" i="3"/>
  <c r="L39" i="3" s="1"/>
  <c r="I36" i="4"/>
  <c r="L18" i="2"/>
  <c r="M18" i="2" s="1"/>
  <c r="L37" i="3"/>
  <c r="H39" i="1"/>
  <c r="I19" i="4"/>
  <c r="I20" i="4" s="1"/>
  <c r="H15" i="1"/>
  <c r="H17" i="1" s="1"/>
  <c r="K23" i="2"/>
  <c r="J28" i="3"/>
  <c r="L41" i="3"/>
  <c r="J19" i="3"/>
  <c r="G23" i="4"/>
  <c r="G24" i="4" s="1"/>
  <c r="G13" i="4"/>
  <c r="G11" i="4"/>
  <c r="G12" i="5"/>
  <c r="L38" i="3"/>
  <c r="J31" i="4"/>
  <c r="J32" i="4" s="1"/>
  <c r="I8" i="1"/>
  <c r="I38" i="1"/>
  <c r="I31" i="1"/>
  <c r="H13" i="4"/>
  <c r="H11" i="4"/>
  <c r="H23" i="4"/>
  <c r="H24" i="4" s="1"/>
  <c r="I42" i="1"/>
  <c r="J33" i="4"/>
  <c r="J34" i="4" s="1"/>
  <c r="I12" i="4"/>
  <c r="J42" i="3"/>
  <c r="K44" i="3"/>
  <c r="L44" i="3" s="1"/>
  <c r="I42" i="3"/>
  <c r="I41" i="1"/>
  <c r="J27" i="2"/>
  <c r="I47" i="1"/>
  <c r="A35" i="6"/>
  <c r="A70" i="6"/>
  <c r="A109" i="6"/>
  <c r="A150" i="6"/>
  <c r="A107" i="6"/>
  <c r="A55" i="6"/>
  <c r="A100" i="6"/>
  <c r="A50" i="6"/>
  <c r="A60" i="6"/>
  <c r="A40" i="6"/>
  <c r="A25" i="6"/>
  <c r="A97" i="6"/>
  <c r="A75" i="6"/>
  <c r="A98" i="6"/>
  <c r="A65" i="6"/>
  <c r="A30" i="6"/>
  <c r="A45" i="6"/>
  <c r="A9" i="6"/>
  <c r="F48" i="18" l="1"/>
  <c r="G17" i="18"/>
  <c r="G18" i="18"/>
  <c r="H11" i="18"/>
  <c r="K14" i="3"/>
  <c r="K26" i="3"/>
  <c r="H19" i="18"/>
  <c r="M46" i="5"/>
  <c r="M48" i="18"/>
  <c r="L47" i="5"/>
  <c r="M47" i="5"/>
  <c r="G28" i="4"/>
  <c r="F7" i="3"/>
  <c r="F23" i="3" s="1"/>
  <c r="F50" i="3" s="1"/>
  <c r="I23" i="4"/>
  <c r="I24" i="4" s="1"/>
  <c r="H20" i="2"/>
  <c r="M31" i="2"/>
  <c r="J14" i="1"/>
  <c r="H42" i="4"/>
  <c r="H43" i="4" s="1"/>
  <c r="F22" i="1"/>
  <c r="G30" i="4" s="1"/>
  <c r="F23" i="1"/>
  <c r="G27" i="4"/>
  <c r="G39" i="4"/>
  <c r="G42" i="4"/>
  <c r="G43" i="4" s="1"/>
  <c r="F45" i="1"/>
  <c r="G26" i="4"/>
  <c r="G40" i="4" s="1"/>
  <c r="E48" i="1"/>
  <c r="F15" i="4"/>
  <c r="K12" i="3"/>
  <c r="G48" i="1"/>
  <c r="H14" i="4"/>
  <c r="K21" i="3"/>
  <c r="K35" i="4"/>
  <c r="K11" i="3"/>
  <c r="J47" i="1"/>
  <c r="K18" i="3"/>
  <c r="K33" i="4"/>
  <c r="K34" i="4" s="1"/>
  <c r="I11" i="4"/>
  <c r="I13" i="4"/>
  <c r="K17" i="4"/>
  <c r="K18" i="4" s="1"/>
  <c r="H17" i="5"/>
  <c r="J33" i="3"/>
  <c r="K20" i="3"/>
  <c r="K28" i="3"/>
  <c r="L28" i="3" s="1"/>
  <c r="K21" i="4"/>
  <c r="K22" i="4" s="1"/>
  <c r="K12" i="2"/>
  <c r="K19" i="2" s="1"/>
  <c r="J22" i="3"/>
  <c r="H10" i="5"/>
  <c r="K15" i="3"/>
  <c r="K17" i="3"/>
  <c r="I46" i="1"/>
  <c r="K16" i="3"/>
  <c r="G16" i="5"/>
  <c r="F44" i="4"/>
  <c r="M9" i="2"/>
  <c r="M12" i="2" s="1"/>
  <c r="K42" i="3"/>
  <c r="K9" i="3"/>
  <c r="M22" i="2"/>
  <c r="J9" i="4"/>
  <c r="G15" i="5"/>
  <c r="J42" i="1"/>
  <c r="M35" i="4"/>
  <c r="L12" i="2"/>
  <c r="J8" i="4"/>
  <c r="J7" i="4"/>
  <c r="J19" i="2"/>
  <c r="I20" i="2" s="1"/>
  <c r="E45" i="3"/>
  <c r="E48" i="3" s="1"/>
  <c r="F47" i="3" s="1"/>
  <c r="E50" i="3"/>
  <c r="F45" i="4"/>
  <c r="L23" i="2"/>
  <c r="L27" i="2" s="1"/>
  <c r="H43" i="1"/>
  <c r="H34" i="1"/>
  <c r="H19" i="1"/>
  <c r="F13" i="5" s="1"/>
  <c r="L42" i="3"/>
  <c r="K31" i="4"/>
  <c r="K32" i="4" s="1"/>
  <c r="J8" i="1"/>
  <c r="J31" i="1"/>
  <c r="J38" i="1"/>
  <c r="H12" i="5"/>
  <c r="J44" i="1"/>
  <c r="J41" i="1"/>
  <c r="J12" i="4"/>
  <c r="J19" i="4"/>
  <c r="J20" i="4" s="1"/>
  <c r="I39" i="1"/>
  <c r="I15" i="1"/>
  <c r="I34" i="1" s="1"/>
  <c r="J40" i="1"/>
  <c r="J36" i="4"/>
  <c r="K19" i="3"/>
  <c r="L35" i="4"/>
  <c r="K27" i="2"/>
  <c r="A64" i="6"/>
  <c r="A21" i="6"/>
  <c r="A54" i="6"/>
  <c r="A10" i="6"/>
  <c r="A69" i="6"/>
  <c r="A39" i="6"/>
  <c r="A49" i="6"/>
  <c r="A101" i="6"/>
  <c r="A59" i="6"/>
  <c r="A89" i="6"/>
  <c r="A44" i="6"/>
  <c r="A34" i="6"/>
  <c r="A92" i="6"/>
  <c r="A90" i="6"/>
  <c r="A29" i="6"/>
  <c r="A99" i="6"/>
  <c r="L14" i="3" l="1"/>
  <c r="H18" i="18"/>
  <c r="I11" i="18"/>
  <c r="G22" i="18"/>
  <c r="D30" i="18"/>
  <c r="H17" i="18"/>
  <c r="F19" i="5"/>
  <c r="F21" i="5" s="1"/>
  <c r="F21" i="18"/>
  <c r="O48" i="18"/>
  <c r="N49" i="18" s="1"/>
  <c r="L49" i="18"/>
  <c r="M49" i="18"/>
  <c r="L26" i="3"/>
  <c r="J19" i="18" s="1"/>
  <c r="I19" i="18"/>
  <c r="H35" i="1"/>
  <c r="O46" i="5"/>
  <c r="K37" i="2"/>
  <c r="J20" i="2"/>
  <c r="K14" i="1"/>
  <c r="J37" i="2"/>
  <c r="K23" i="4"/>
  <c r="K24" i="4" s="1"/>
  <c r="G44" i="4"/>
  <c r="F37" i="4"/>
  <c r="G45" i="4"/>
  <c r="F45" i="3"/>
  <c r="F48" i="3" s="1"/>
  <c r="G47" i="3" s="1"/>
  <c r="M21" i="4"/>
  <c r="M22" i="4" s="1"/>
  <c r="I12" i="5"/>
  <c r="G7" i="3"/>
  <c r="G23" i="3" s="1"/>
  <c r="G45" i="3" s="1"/>
  <c r="G22" i="1"/>
  <c r="H30" i="4" s="1"/>
  <c r="G23" i="1"/>
  <c r="H26" i="4"/>
  <c r="H40" i="4" s="1"/>
  <c r="H28" i="4"/>
  <c r="H45" i="4" s="1"/>
  <c r="L12" i="3"/>
  <c r="G45" i="1"/>
  <c r="H27" i="4"/>
  <c r="H44" i="4" s="1"/>
  <c r="H37" i="4"/>
  <c r="L11" i="3"/>
  <c r="L21" i="3"/>
  <c r="L18" i="3"/>
  <c r="K7" i="4"/>
  <c r="K41" i="1"/>
  <c r="K33" i="3"/>
  <c r="L20" i="3"/>
  <c r="I17" i="5"/>
  <c r="L17" i="4"/>
  <c r="L18" i="4" s="1"/>
  <c r="K31" i="1"/>
  <c r="K8" i="1"/>
  <c r="K44" i="1"/>
  <c r="L15" i="3"/>
  <c r="H15" i="5"/>
  <c r="L9" i="3"/>
  <c r="H16" i="5"/>
  <c r="J46" i="1"/>
  <c r="L31" i="4"/>
  <c r="L32" i="4" s="1"/>
  <c r="K42" i="1"/>
  <c r="L16" i="3"/>
  <c r="K40" i="1"/>
  <c r="L19" i="3"/>
  <c r="K47" i="1"/>
  <c r="L17" i="3"/>
  <c r="K38" i="1"/>
  <c r="L21" i="4"/>
  <c r="L22" i="4" s="1"/>
  <c r="I10" i="5"/>
  <c r="K22" i="3"/>
  <c r="I43" i="1"/>
  <c r="I17" i="1"/>
  <c r="I19" i="1" s="1"/>
  <c r="G13" i="5" s="1"/>
  <c r="L36" i="4"/>
  <c r="L9" i="4"/>
  <c r="L33" i="4"/>
  <c r="L34" i="4" s="1"/>
  <c r="J13" i="4"/>
  <c r="J11" i="4"/>
  <c r="J23" i="4"/>
  <c r="J24" i="4" s="1"/>
  <c r="K19" i="4"/>
  <c r="K20" i="4" s="1"/>
  <c r="J39" i="1"/>
  <c r="J15" i="1"/>
  <c r="M23" i="2"/>
  <c r="M27" i="2" s="1"/>
  <c r="M19" i="2"/>
  <c r="M37" i="2" s="1"/>
  <c r="I15" i="4"/>
  <c r="I14" i="4"/>
  <c r="K13" i="4"/>
  <c r="K11" i="4"/>
  <c r="K9" i="4"/>
  <c r="K8" i="4"/>
  <c r="L8" i="4"/>
  <c r="L7" i="4"/>
  <c r="L19" i="2"/>
  <c r="I42" i="4"/>
  <c r="I43" i="4" s="1"/>
  <c r="I39" i="4"/>
  <c r="I27" i="4"/>
  <c r="H23" i="1"/>
  <c r="H45" i="1"/>
  <c r="I28" i="4"/>
  <c r="I26" i="4"/>
  <c r="I40" i="4" s="1"/>
  <c r="H7" i="3"/>
  <c r="H23" i="3" s="1"/>
  <c r="H22" i="1"/>
  <c r="I30" i="4" s="1"/>
  <c r="A91" i="6"/>
  <c r="A93" i="6"/>
  <c r="A18" i="6"/>
  <c r="A110" i="6"/>
  <c r="A94" i="6"/>
  <c r="A11" i="6"/>
  <c r="A102" i="6"/>
  <c r="A86" i="6"/>
  <c r="A128" i="6"/>
  <c r="H22" i="18" l="1"/>
  <c r="F30" i="18"/>
  <c r="F22" i="18"/>
  <c r="I22" i="18"/>
  <c r="D53" i="18"/>
  <c r="F75" i="18" s="1"/>
  <c r="F89" i="18" s="1"/>
  <c r="J22" i="18"/>
  <c r="J11" i="18"/>
  <c r="I18" i="18"/>
  <c r="I17" i="18"/>
  <c r="F12" i="18"/>
  <c r="F9" i="5"/>
  <c r="F11" i="5" s="1"/>
  <c r="G19" i="5"/>
  <c r="G21" i="5" s="1"/>
  <c r="G21" i="18"/>
  <c r="P48" i="18"/>
  <c r="O49" i="18" s="1"/>
  <c r="I35" i="1"/>
  <c r="P46" i="5"/>
  <c r="O47" i="5" s="1"/>
  <c r="N47" i="5"/>
  <c r="K20" i="2"/>
  <c r="L37" i="2"/>
  <c r="M20" i="2"/>
  <c r="L20" i="2"/>
  <c r="L14" i="1"/>
  <c r="M17" i="4"/>
  <c r="M18" i="4" s="1"/>
  <c r="I44" i="4"/>
  <c r="J12" i="5"/>
  <c r="G50" i="3"/>
  <c r="L33" i="3"/>
  <c r="J17" i="5"/>
  <c r="L47" i="1"/>
  <c r="K39" i="1"/>
  <c r="L19" i="4"/>
  <c r="L20" i="4" s="1"/>
  <c r="K46" i="1"/>
  <c r="I45" i="4"/>
  <c r="L41" i="1"/>
  <c r="F73" i="5"/>
  <c r="F87" i="5" s="1"/>
  <c r="L40" i="1"/>
  <c r="L38" i="1"/>
  <c r="L42" i="1"/>
  <c r="L22" i="3"/>
  <c r="J10" i="5"/>
  <c r="L44" i="1"/>
  <c r="L8" i="1"/>
  <c r="G48" i="3"/>
  <c r="H47" i="3" s="1"/>
  <c r="L31" i="1"/>
  <c r="M23" i="4"/>
  <c r="M24" i="4" s="1"/>
  <c r="M31" i="4"/>
  <c r="M32" i="4" s="1"/>
  <c r="I16" i="5"/>
  <c r="I15" i="5"/>
  <c r="M9" i="4"/>
  <c r="L13" i="4"/>
  <c r="L11" i="4"/>
  <c r="L23" i="4"/>
  <c r="L24" i="4" s="1"/>
  <c r="M13" i="4"/>
  <c r="M11" i="4"/>
  <c r="J15" i="4"/>
  <c r="J14" i="4"/>
  <c r="H50" i="3"/>
  <c r="H45" i="3"/>
  <c r="J43" i="1"/>
  <c r="J17" i="1"/>
  <c r="J19" i="1" s="1"/>
  <c r="H13" i="5" s="1"/>
  <c r="J34" i="1"/>
  <c r="H48" i="1"/>
  <c r="I37" i="4"/>
  <c r="L12" i="4"/>
  <c r="M7" i="4"/>
  <c r="K12" i="4"/>
  <c r="K36" i="4"/>
  <c r="M8" i="4"/>
  <c r="J42" i="4"/>
  <c r="J43" i="4" s="1"/>
  <c r="J39" i="4"/>
  <c r="J27" i="4"/>
  <c r="J28" i="4"/>
  <c r="J26" i="4"/>
  <c r="J40" i="4" s="1"/>
  <c r="I23" i="1"/>
  <c r="I45" i="1"/>
  <c r="I7" i="3"/>
  <c r="I23" i="3" s="1"/>
  <c r="I22" i="1"/>
  <c r="J30" i="4" s="1"/>
  <c r="A154" i="6"/>
  <c r="G23" i="18" l="1"/>
  <c r="F23" i="18"/>
  <c r="J18" i="18"/>
  <c r="J17" i="18"/>
  <c r="F16" i="18"/>
  <c r="F20" i="18" s="1"/>
  <c r="G9" i="5"/>
  <c r="H19" i="5"/>
  <c r="H21" i="5" s="1"/>
  <c r="Q48" i="18"/>
  <c r="P49" i="18" s="1"/>
  <c r="J35" i="1"/>
  <c r="Q46" i="5"/>
  <c r="P47" i="5" s="1"/>
  <c r="L46" i="1"/>
  <c r="H48" i="3"/>
  <c r="I47" i="3" s="1"/>
  <c r="J15" i="5"/>
  <c r="L39" i="1"/>
  <c r="J16" i="5"/>
  <c r="J45" i="4"/>
  <c r="L15" i="1"/>
  <c r="J44" i="4"/>
  <c r="M19" i="4"/>
  <c r="M20" i="4" s="1"/>
  <c r="I50" i="3"/>
  <c r="I45" i="3"/>
  <c r="K15" i="4"/>
  <c r="K14" i="4"/>
  <c r="I48" i="1"/>
  <c r="J37" i="4"/>
  <c r="M12" i="4"/>
  <c r="M36" i="4"/>
  <c r="K42" i="4"/>
  <c r="K43" i="4" s="1"/>
  <c r="K39" i="4"/>
  <c r="K27" i="4"/>
  <c r="K28" i="4"/>
  <c r="K26" i="4"/>
  <c r="K40" i="4" s="1"/>
  <c r="J45" i="1"/>
  <c r="J22" i="1"/>
  <c r="K30" i="4" s="1"/>
  <c r="J23" i="1"/>
  <c r="J7" i="3"/>
  <c r="J23" i="3" s="1"/>
  <c r="F24" i="18" l="1"/>
  <c r="H9" i="5"/>
  <c r="I48" i="3"/>
  <c r="J47" i="3" s="1"/>
  <c r="K44" i="4"/>
  <c r="L17" i="1"/>
  <c r="L19" i="1" s="1"/>
  <c r="J13" i="5" s="1"/>
  <c r="L43" i="1"/>
  <c r="L34" i="1"/>
  <c r="M15" i="4" s="1"/>
  <c r="G11" i="5"/>
  <c r="K37" i="4"/>
  <c r="F14" i="5"/>
  <c r="F18" i="5" s="1"/>
  <c r="J50" i="3"/>
  <c r="J45" i="3"/>
  <c r="J48" i="1"/>
  <c r="K45" i="4"/>
  <c r="J19" i="5" l="1"/>
  <c r="J21" i="5" s="1"/>
  <c r="S48" i="18"/>
  <c r="J21" i="18"/>
  <c r="L35" i="1"/>
  <c r="S46" i="5"/>
  <c r="M28" i="4"/>
  <c r="M14" i="4"/>
  <c r="M27" i="4"/>
  <c r="M39" i="4"/>
  <c r="M42" i="4"/>
  <c r="M43" i="4" s="1"/>
  <c r="L7" i="3"/>
  <c r="L23" i="3" s="1"/>
  <c r="L50" i="3" s="1"/>
  <c r="J48" i="3"/>
  <c r="K47" i="3" s="1"/>
  <c r="L22" i="1"/>
  <c r="M30" i="4" s="1"/>
  <c r="H11" i="5"/>
  <c r="H14" i="5" s="1"/>
  <c r="F22" i="5"/>
  <c r="L45" i="1"/>
  <c r="L23" i="1"/>
  <c r="G14" i="5"/>
  <c r="G18" i="5" s="1"/>
  <c r="M26" i="4"/>
  <c r="M40" i="4" s="1"/>
  <c r="F29" i="5" l="1"/>
  <c r="F30" i="5" s="1"/>
  <c r="F31" i="5" s="1"/>
  <c r="J9" i="5"/>
  <c r="T48" i="18"/>
  <c r="F31" i="18"/>
  <c r="J23" i="18"/>
  <c r="T46" i="5"/>
  <c r="M45" i="4"/>
  <c r="M37" i="4"/>
  <c r="L48" i="1"/>
  <c r="M44" i="4"/>
  <c r="L45" i="3"/>
  <c r="H18" i="5"/>
  <c r="G22" i="5"/>
  <c r="F32" i="18" l="1"/>
  <c r="S49" i="18"/>
  <c r="U48" i="18"/>
  <c r="S47" i="5"/>
  <c r="U46" i="5"/>
  <c r="J11" i="5"/>
  <c r="H22" i="5"/>
  <c r="F33" i="18" l="1"/>
  <c r="T49" i="18"/>
  <c r="V48" i="18"/>
  <c r="T47" i="5"/>
  <c r="V46" i="5"/>
  <c r="J14" i="5"/>
  <c r="J18" i="5" s="1"/>
  <c r="U49" i="18" l="1"/>
  <c r="W48" i="18"/>
  <c r="U47" i="5"/>
  <c r="W46" i="5"/>
  <c r="J22" i="5"/>
  <c r="K18" i="5"/>
  <c r="L18" i="5" s="1"/>
  <c r="M18" i="5" s="1"/>
  <c r="N18" i="5" s="1"/>
  <c r="O18" i="5" s="1"/>
  <c r="P18" i="5" s="1"/>
  <c r="Q18" i="5" s="1"/>
  <c r="R18" i="5" s="1"/>
  <c r="S18" i="5" s="1"/>
  <c r="T18" i="5" s="1"/>
  <c r="U18" i="5" s="1"/>
  <c r="V18" i="5" s="1"/>
  <c r="W18" i="5" s="1"/>
  <c r="X18" i="5" s="1"/>
  <c r="Y18" i="5" s="1"/>
  <c r="Z18" i="5" s="1"/>
  <c r="AA18" i="5" s="1"/>
  <c r="AB18" i="5" s="1"/>
  <c r="AC18" i="5" s="1"/>
  <c r="AD18" i="5" s="1"/>
  <c r="AE18" i="5" s="1"/>
  <c r="AF18" i="5" s="1"/>
  <c r="AG18" i="5" s="1"/>
  <c r="AH18" i="5" s="1"/>
  <c r="AI18" i="5" s="1"/>
  <c r="AJ18" i="5" s="1"/>
  <c r="AK18" i="5" s="1"/>
  <c r="AL18" i="5" s="1"/>
  <c r="AM18" i="5" s="1"/>
  <c r="AN18" i="5" s="1"/>
  <c r="AO18" i="5" s="1"/>
  <c r="AP18" i="5" s="1"/>
  <c r="AQ18" i="5" s="1"/>
  <c r="AR18" i="5" s="1"/>
  <c r="AS18" i="5" s="1"/>
  <c r="AT18" i="5" s="1"/>
  <c r="AU18" i="5" s="1"/>
  <c r="AV18" i="5" s="1"/>
  <c r="AW18" i="5" s="1"/>
  <c r="AX18" i="5" s="1"/>
  <c r="AY18" i="5" s="1"/>
  <c r="AZ18" i="5" s="1"/>
  <c r="BA18" i="5" s="1"/>
  <c r="BB18" i="5" s="1"/>
  <c r="BC18" i="5" s="1"/>
  <c r="BD18" i="5" s="1"/>
  <c r="BE18" i="5" s="1"/>
  <c r="BF18" i="5" s="1"/>
  <c r="BG18" i="5" s="1"/>
  <c r="BH18" i="5" s="1"/>
  <c r="BI18" i="5" s="1"/>
  <c r="BJ18" i="5" s="1"/>
  <c r="BK18" i="5" s="1"/>
  <c r="BL18" i="5" s="1"/>
  <c r="BM18" i="5" s="1"/>
  <c r="BN18" i="5" s="1"/>
  <c r="BO18" i="5" s="1"/>
  <c r="BP18" i="5" s="1"/>
  <c r="BQ18" i="5" s="1"/>
  <c r="BR18" i="5" s="1"/>
  <c r="BS18" i="5" s="1"/>
  <c r="BT18" i="5" s="1"/>
  <c r="BU18" i="5" s="1"/>
  <c r="BV18" i="5" s="1"/>
  <c r="BW18" i="5" s="1"/>
  <c r="BX18" i="5" s="1"/>
  <c r="BY18" i="5" s="1"/>
  <c r="BZ18" i="5" s="1"/>
  <c r="CA18" i="5" s="1"/>
  <c r="CB18" i="5" s="1"/>
  <c r="CC18" i="5" s="1"/>
  <c r="CD18" i="5" s="1"/>
  <c r="CE18" i="5" s="1"/>
  <c r="CF18" i="5" s="1"/>
  <c r="CG18" i="5" s="1"/>
  <c r="CH18" i="5" s="1"/>
  <c r="CI18" i="5" s="1"/>
  <c r="CJ18" i="5" s="1"/>
  <c r="CK18" i="5" s="1"/>
  <c r="CL18" i="5" s="1"/>
  <c r="CM18" i="5" s="1"/>
  <c r="CN18" i="5" s="1"/>
  <c r="CO18" i="5" s="1"/>
  <c r="CP18" i="5" s="1"/>
  <c r="CQ18" i="5" s="1"/>
  <c r="CR18" i="5" s="1"/>
  <c r="CS18" i="5" s="1"/>
  <c r="CT18" i="5" s="1"/>
  <c r="CU18" i="5" s="1"/>
  <c r="CV18" i="5" s="1"/>
  <c r="CW18" i="5" s="1"/>
  <c r="CX18" i="5" s="1"/>
  <c r="CY18" i="5" s="1"/>
  <c r="CZ18" i="5" s="1"/>
  <c r="DA18" i="5" s="1"/>
  <c r="DB18" i="5" s="1"/>
  <c r="DC18" i="5" s="1"/>
  <c r="DD18" i="5" s="1"/>
  <c r="DE18" i="5" s="1"/>
  <c r="DF18" i="5" s="1"/>
  <c r="DG18" i="5" s="1"/>
  <c r="DH18" i="5" s="1"/>
  <c r="DI18" i="5" s="1"/>
  <c r="DJ18" i="5" s="1"/>
  <c r="DK18" i="5" s="1"/>
  <c r="DL18" i="5" s="1"/>
  <c r="DM18" i="5" s="1"/>
  <c r="DN18" i="5" s="1"/>
  <c r="DO18" i="5" s="1"/>
  <c r="DP18" i="5" s="1"/>
  <c r="DQ18" i="5" s="1"/>
  <c r="DR18" i="5" s="1"/>
  <c r="DS18" i="5" s="1"/>
  <c r="DT18" i="5" s="1"/>
  <c r="DU18" i="5" s="1"/>
  <c r="DV18" i="5" s="1"/>
  <c r="DW18" i="5" s="1"/>
  <c r="DX18" i="5" s="1"/>
  <c r="DY18" i="5" s="1"/>
  <c r="DZ18" i="5" s="1"/>
  <c r="EA18" i="5" s="1"/>
  <c r="EB18" i="5" s="1"/>
  <c r="EC18" i="5" s="1"/>
  <c r="ED18" i="5" s="1"/>
  <c r="EE18" i="5" s="1"/>
  <c r="EF18" i="5" s="1"/>
  <c r="EG18" i="5" s="1"/>
  <c r="EH18" i="5" s="1"/>
  <c r="EI18" i="5" s="1"/>
  <c r="EJ18" i="5" s="1"/>
  <c r="EK18" i="5" s="1"/>
  <c r="EL18" i="5" s="1"/>
  <c r="EM18" i="5" s="1"/>
  <c r="EN18" i="5" s="1"/>
  <c r="EO18" i="5" s="1"/>
  <c r="EP18" i="5" s="1"/>
  <c r="EQ18" i="5" s="1"/>
  <c r="ER18" i="5" s="1"/>
  <c r="ES18" i="5" s="1"/>
  <c r="ET18" i="5" s="1"/>
  <c r="EU18" i="5" s="1"/>
  <c r="EV18" i="5" s="1"/>
  <c r="EW18" i="5" s="1"/>
  <c r="EX18" i="5" s="1"/>
  <c r="EY18" i="5" s="1"/>
  <c r="EZ18" i="5" s="1"/>
  <c r="FA18" i="5" s="1"/>
  <c r="FB18" i="5" s="1"/>
  <c r="FC18" i="5" s="1"/>
  <c r="FD18" i="5" s="1"/>
  <c r="FE18" i="5" s="1"/>
  <c r="FF18" i="5" s="1"/>
  <c r="FG18" i="5" s="1"/>
  <c r="FH18" i="5" s="1"/>
  <c r="FI18" i="5" s="1"/>
  <c r="FJ18" i="5" s="1"/>
  <c r="FK18" i="5" s="1"/>
  <c r="FL18" i="5" s="1"/>
  <c r="FM18" i="5" s="1"/>
  <c r="FN18" i="5" s="1"/>
  <c r="FO18" i="5" s="1"/>
  <c r="FP18" i="5" s="1"/>
  <c r="FQ18" i="5" s="1"/>
  <c r="FR18" i="5" s="1"/>
  <c r="FS18" i="5" s="1"/>
  <c r="FT18" i="5" s="1"/>
  <c r="FU18" i="5" s="1"/>
  <c r="FV18" i="5" s="1"/>
  <c r="FW18" i="5" s="1"/>
  <c r="FX18" i="5" s="1"/>
  <c r="FY18" i="5" s="1"/>
  <c r="FZ18" i="5" s="1"/>
  <c r="GA18" i="5" s="1"/>
  <c r="GB18" i="5" s="1"/>
  <c r="GC18" i="5" s="1"/>
  <c r="GD18" i="5" s="1"/>
  <c r="GE18" i="5" s="1"/>
  <c r="GF18" i="5" s="1"/>
  <c r="GG18" i="5" s="1"/>
  <c r="GH18" i="5" s="1"/>
  <c r="GI18" i="5" s="1"/>
  <c r="GJ18" i="5" s="1"/>
  <c r="GK18" i="5" s="1"/>
  <c r="GL18" i="5" s="1"/>
  <c r="GM18" i="5" s="1"/>
  <c r="GN18" i="5" s="1"/>
  <c r="GO18" i="5" s="1"/>
  <c r="GP18" i="5" s="1"/>
  <c r="GQ18" i="5" s="1"/>
  <c r="GR18" i="5" s="1"/>
  <c r="GS18" i="5" s="1"/>
  <c r="V49" i="18" l="1"/>
  <c r="X48" i="18"/>
  <c r="D30" i="5"/>
  <c r="D31" i="5" s="1"/>
  <c r="L90" i="5"/>
  <c r="V47" i="5"/>
  <c r="X46" i="5"/>
  <c r="Y48" i="18" l="1"/>
  <c r="W49" i="18"/>
  <c r="L91" i="5"/>
  <c r="L92" i="5" s="1"/>
  <c r="L89" i="5"/>
  <c r="L88" i="5" s="1"/>
  <c r="W47" i="5"/>
  <c r="Y46" i="5"/>
  <c r="F48" i="1"/>
  <c r="G37" i="4"/>
  <c r="Z48" i="18" l="1"/>
  <c r="X49" i="18"/>
  <c r="Z46" i="5"/>
  <c r="X47" i="5"/>
  <c r="G15" i="4"/>
  <c r="G14" i="4"/>
  <c r="K15" i="1"/>
  <c r="K43" i="1" s="1"/>
  <c r="Y49" i="18" l="1"/>
  <c r="AA48" i="18"/>
  <c r="AA46" i="5"/>
  <c r="Y47" i="5"/>
  <c r="K34" i="1"/>
  <c r="K17" i="1"/>
  <c r="K19" i="1" s="1"/>
  <c r="I13" i="5" s="1"/>
  <c r="I19" i="5" l="1"/>
  <c r="I21" i="5" s="1"/>
  <c r="F24" i="5" s="1"/>
  <c r="E54" i="5" s="1"/>
  <c r="E56" i="5" s="1"/>
  <c r="E58" i="5" s="1"/>
  <c r="D29" i="11" s="1"/>
  <c r="I21" i="18"/>
  <c r="R48" i="18"/>
  <c r="AB48" i="18"/>
  <c r="Z49" i="18"/>
  <c r="AB46" i="5"/>
  <c r="Z47" i="5"/>
  <c r="K35" i="1"/>
  <c r="R46" i="5"/>
  <c r="K23" i="1"/>
  <c r="K22" i="1"/>
  <c r="L30" i="4" s="1"/>
  <c r="L39" i="4"/>
  <c r="L42" i="4"/>
  <c r="L43" i="4" s="1"/>
  <c r="L27" i="4"/>
  <c r="L26" i="4"/>
  <c r="L40" i="4" s="1"/>
  <c r="K45" i="1"/>
  <c r="L28" i="4"/>
  <c r="K7" i="3"/>
  <c r="K23" i="3" s="1"/>
  <c r="L15" i="4"/>
  <c r="L14" i="4"/>
  <c r="I23" i="18" l="1"/>
  <c r="I9" i="5"/>
  <c r="I11" i="5" s="1"/>
  <c r="I14" i="5" s="1"/>
  <c r="I18" i="5" s="1"/>
  <c r="Q49" i="18"/>
  <c r="R49" i="18"/>
  <c r="AC48" i="18"/>
  <c r="AA49" i="18"/>
  <c r="AC46" i="5"/>
  <c r="AA47" i="5"/>
  <c r="Q47" i="5"/>
  <c r="R47" i="5"/>
  <c r="L45" i="4"/>
  <c r="L44" i="4"/>
  <c r="K50" i="3"/>
  <c r="K45" i="3"/>
  <c r="K48" i="3" s="1"/>
  <c r="L47" i="3" s="1"/>
  <c r="L48" i="3" s="1"/>
  <c r="K48" i="1"/>
  <c r="L37" i="4"/>
  <c r="M33" i="4"/>
  <c r="M34" i="4" s="1"/>
  <c r="I33" i="2"/>
  <c r="AD48" i="18" l="1"/>
  <c r="AB49" i="18"/>
  <c r="AD46" i="5"/>
  <c r="AB47" i="5"/>
  <c r="I22" i="5"/>
  <c r="D24" i="5" s="1"/>
  <c r="L20" i="5"/>
  <c r="J33" i="2"/>
  <c r="K33" i="2" s="1"/>
  <c r="AE48" i="18" l="1"/>
  <c r="AC49" i="18"/>
  <c r="D54" i="5"/>
  <c r="J63" i="5" s="1"/>
  <c r="AE46" i="5"/>
  <c r="AC47" i="5"/>
  <c r="L33" i="5"/>
  <c r="K23" i="5"/>
  <c r="D59" i="5" s="1"/>
  <c r="C5" i="11" s="1"/>
  <c r="D21" i="11" s="1"/>
  <c r="L22" i="5"/>
  <c r="N23" i="5" s="1"/>
  <c r="D60" i="5" s="1"/>
  <c r="C6" i="11" s="1"/>
  <c r="D22" i="11" s="1"/>
  <c r="L33" i="2"/>
  <c r="M33" i="2" s="1"/>
  <c r="AD49" i="18" l="1"/>
  <c r="AF48" i="18"/>
  <c r="AF46" i="5"/>
  <c r="AD47" i="5"/>
  <c r="I63" i="5"/>
  <c r="G43" i="11" s="1"/>
  <c r="D56" i="5"/>
  <c r="D58" i="5" s="1"/>
  <c r="F63" i="5"/>
  <c r="F62" i="5"/>
  <c r="L32" i="5"/>
  <c r="L34" i="5" s="1"/>
  <c r="L36" i="5" s="1"/>
  <c r="D61" i="5" s="1"/>
  <c r="G62" i="5"/>
  <c r="H62" i="5"/>
  <c r="I62" i="5"/>
  <c r="J62" i="5"/>
  <c r="G63" i="5"/>
  <c r="H63" i="5"/>
  <c r="AE49" i="18" l="1"/>
  <c r="AG48" i="18"/>
  <c r="C4" i="11"/>
  <c r="D20" i="11" s="1"/>
  <c r="L87" i="5"/>
  <c r="AG46" i="5"/>
  <c r="AE47" i="5"/>
  <c r="C73" i="5"/>
  <c r="F50" i="5"/>
  <c r="C7" i="11"/>
  <c r="C87" i="5"/>
  <c r="L73" i="5"/>
  <c r="A1" i="6"/>
  <c r="L75" i="5"/>
  <c r="AH48" i="18" l="1"/>
  <c r="AF49" i="18"/>
  <c r="AH46" i="5"/>
  <c r="AF47" i="5"/>
  <c r="C9" i="11"/>
  <c r="D23" i="11"/>
  <c r="B15" i="11"/>
  <c r="B16" i="11"/>
  <c r="C29" i="11" s="1"/>
  <c r="B14" i="11"/>
  <c r="E20" i="11" l="1"/>
  <c r="C20" i="11"/>
  <c r="AI48" i="18"/>
  <c r="AG49" i="18"/>
  <c r="E29" i="11"/>
  <c r="AI46" i="5"/>
  <c r="AG47" i="5"/>
  <c r="E23" i="11"/>
  <c r="E21" i="11"/>
  <c r="E22" i="11"/>
  <c r="C21" i="11"/>
  <c r="C22" i="11"/>
  <c r="C23" i="11"/>
  <c r="AH49" i="18" l="1"/>
  <c r="AJ48" i="18"/>
  <c r="AJ46" i="5"/>
  <c r="AH47" i="5"/>
  <c r="AI49" i="18" l="1"/>
  <c r="AK48" i="18"/>
  <c r="AK46" i="5"/>
  <c r="AI47" i="5"/>
  <c r="AJ49" i="18" l="1"/>
  <c r="AL48" i="18"/>
  <c r="AL46" i="5"/>
  <c r="AJ47" i="5"/>
  <c r="AM48" i="18" l="1"/>
  <c r="AK49" i="18"/>
  <c r="AM46" i="5"/>
  <c r="AK47" i="5"/>
  <c r="AN48" i="18" l="1"/>
  <c r="AL49" i="18"/>
  <c r="AN46" i="5"/>
  <c r="AL47" i="5"/>
  <c r="AO48" i="18" l="1"/>
  <c r="AM49" i="18"/>
  <c r="AO46" i="5"/>
  <c r="AM47" i="5"/>
  <c r="AP48" i="18" l="1"/>
  <c r="AN49" i="18"/>
  <c r="AP46" i="5"/>
  <c r="AN47" i="5"/>
  <c r="AQ48" i="18" l="1"/>
  <c r="AO49" i="18"/>
  <c r="AO47" i="5"/>
  <c r="AQ46" i="5"/>
  <c r="AP49" i="18" l="1"/>
  <c r="AR48" i="18"/>
  <c r="AP47" i="5"/>
  <c r="AR46" i="5"/>
  <c r="AQ49" i="18" l="1"/>
  <c r="AS48" i="18"/>
  <c r="AS46" i="5"/>
  <c r="AQ47" i="5"/>
  <c r="AR49" i="18" l="1"/>
  <c r="AT48" i="18"/>
  <c r="AT46" i="5"/>
  <c r="AR47" i="5"/>
  <c r="AU48" i="18" l="1"/>
  <c r="AS49" i="18"/>
  <c r="AS47" i="5"/>
  <c r="AU46" i="5"/>
  <c r="AV48" i="18" l="1"/>
  <c r="AT49" i="18"/>
  <c r="AT47" i="5"/>
  <c r="AV46" i="5"/>
  <c r="AW48" i="18" l="1"/>
  <c r="AU49" i="18"/>
  <c r="AW46" i="5"/>
  <c r="AU47" i="5"/>
  <c r="AX48" i="18" l="1"/>
  <c r="AV49" i="18"/>
  <c r="AX46" i="5"/>
  <c r="AV47" i="5"/>
  <c r="AY48" i="18" l="1"/>
  <c r="AW49" i="18"/>
  <c r="AY46" i="5"/>
  <c r="AW47" i="5"/>
  <c r="AX49" i="18" l="1"/>
  <c r="AZ48" i="18"/>
  <c r="AZ46" i="5"/>
  <c r="AX47" i="5"/>
  <c r="AY49" i="18" l="1"/>
  <c r="BA48" i="18"/>
  <c r="AY47" i="5"/>
  <c r="BA46" i="5"/>
  <c r="AZ49" i="18" l="1"/>
  <c r="BB48" i="18"/>
  <c r="AZ47" i="5"/>
  <c r="BB46" i="5"/>
  <c r="BC48" i="18" l="1"/>
  <c r="BA49" i="18"/>
  <c r="BA47" i="5"/>
  <c r="BC46" i="5"/>
  <c r="BD48" i="18" l="1"/>
  <c r="BB49" i="18"/>
  <c r="BB47" i="5"/>
  <c r="BD46" i="5"/>
  <c r="BE48" i="18" l="1"/>
  <c r="BC49" i="18"/>
  <c r="BC47" i="5"/>
  <c r="BE46" i="5"/>
  <c r="BF48" i="18" l="1"/>
  <c r="BD49" i="18"/>
  <c r="BD47" i="5"/>
  <c r="BF46" i="5"/>
  <c r="BE49" i="18" l="1"/>
  <c r="BG48" i="18"/>
  <c r="BG46" i="5"/>
  <c r="BE47" i="5"/>
  <c r="BF49" i="18" l="1"/>
  <c r="BH48" i="18"/>
  <c r="BH46" i="5"/>
  <c r="BF47" i="5"/>
  <c r="BG49" i="18" l="1"/>
  <c r="BI48" i="18"/>
  <c r="BI46" i="5"/>
  <c r="BG47" i="5"/>
  <c r="BH49" i="18" l="1"/>
  <c r="BJ48" i="18"/>
  <c r="BH47" i="5"/>
  <c r="BJ46" i="5"/>
  <c r="BI49" i="18" l="1"/>
  <c r="BK48" i="18"/>
  <c r="BI47" i="5"/>
  <c r="BK46" i="5"/>
  <c r="BL48" i="18" l="1"/>
  <c r="BJ49" i="18"/>
  <c r="BL46" i="5"/>
  <c r="BJ47" i="5"/>
  <c r="BK49" i="18" l="1"/>
  <c r="BM48" i="18"/>
  <c r="BM46" i="5"/>
  <c r="BK47" i="5"/>
  <c r="BN48" i="18" l="1"/>
  <c r="BL49" i="18"/>
  <c r="BN46" i="5"/>
  <c r="BL47" i="5"/>
  <c r="BM49" i="18" l="1"/>
  <c r="BO48" i="18"/>
  <c r="BM47" i="5"/>
  <c r="BO46" i="5"/>
  <c r="BN49" i="18" l="1"/>
  <c r="BP48" i="18"/>
  <c r="BP46" i="5"/>
  <c r="BN47" i="5"/>
  <c r="BO49" i="18" l="1"/>
  <c r="BQ48" i="18"/>
  <c r="BO47" i="5"/>
  <c r="BQ46" i="5"/>
  <c r="BP49" i="18" l="1"/>
  <c r="BR48" i="18"/>
  <c r="BR46" i="5"/>
  <c r="BP47" i="5"/>
  <c r="BS48" i="18" l="1"/>
  <c r="BQ49" i="18"/>
  <c r="BS46" i="5"/>
  <c r="BQ47" i="5"/>
  <c r="BT48" i="18" l="1"/>
  <c r="BR49" i="18"/>
  <c r="BR47" i="5"/>
  <c r="BT46" i="5"/>
  <c r="BU48" i="18" l="1"/>
  <c r="BS49" i="18"/>
  <c r="BS47" i="5"/>
  <c r="BU46" i="5"/>
  <c r="BV48" i="18" l="1"/>
  <c r="BT49" i="18"/>
  <c r="BV46" i="5"/>
  <c r="BT47" i="5"/>
  <c r="BW48" i="18" l="1"/>
  <c r="BU49" i="18"/>
  <c r="BW46" i="5"/>
  <c r="BU47" i="5"/>
  <c r="BX48" i="18" l="1"/>
  <c r="BV49" i="18"/>
  <c r="BV47" i="5"/>
  <c r="BX46" i="5"/>
  <c r="BW49" i="18" l="1"/>
  <c r="BY48" i="18"/>
  <c r="BY46" i="5"/>
  <c r="BW47" i="5"/>
  <c r="BZ48" i="18" l="1"/>
  <c r="BX49" i="18"/>
  <c r="BZ46" i="5"/>
  <c r="BX47" i="5"/>
  <c r="CA48" i="18" l="1"/>
  <c r="BY49" i="18"/>
  <c r="CA46" i="5"/>
  <c r="BY47" i="5"/>
  <c r="CB48" i="18" l="1"/>
  <c r="BZ49" i="18"/>
  <c r="CB46" i="5"/>
  <c r="BZ47" i="5"/>
  <c r="CC48" i="18" l="1"/>
  <c r="CA49" i="18"/>
  <c r="CC46" i="5"/>
  <c r="CA47" i="5"/>
  <c r="CB49" i="18" l="1"/>
  <c r="CD48" i="18"/>
  <c r="CD46" i="5"/>
  <c r="CB47" i="5"/>
  <c r="CC49" i="18" l="1"/>
  <c r="CE48" i="18"/>
  <c r="CE46" i="5"/>
  <c r="CC47" i="5"/>
  <c r="CD49" i="18" l="1"/>
  <c r="CF48" i="18"/>
  <c r="CF46" i="5"/>
  <c r="CD47" i="5"/>
  <c r="CE49" i="18" l="1"/>
  <c r="CG48" i="18"/>
  <c r="CG46" i="5"/>
  <c r="CE47" i="5"/>
  <c r="CF49" i="18" l="1"/>
  <c r="CH48" i="18"/>
  <c r="CH46" i="5"/>
  <c r="CF47" i="5"/>
  <c r="CG49" i="18" l="1"/>
  <c r="CI48" i="18"/>
  <c r="CI46" i="5"/>
  <c r="CG47" i="5"/>
  <c r="CH49" i="18" l="1"/>
  <c r="CJ48" i="18"/>
  <c r="CJ46" i="5"/>
  <c r="CH47" i="5"/>
  <c r="CI49" i="18" l="1"/>
  <c r="CK48" i="18"/>
  <c r="CK46" i="5"/>
  <c r="CI47" i="5"/>
  <c r="CL48" i="18" l="1"/>
  <c r="CJ49" i="18"/>
  <c r="CL46" i="5"/>
  <c r="CJ47" i="5"/>
  <c r="CK49" i="18" l="1"/>
  <c r="CM48" i="18"/>
  <c r="CM46" i="5"/>
  <c r="CK47" i="5"/>
  <c r="CL49" i="18" l="1"/>
  <c r="CN48" i="18"/>
  <c r="CN46" i="5"/>
  <c r="CL47" i="5"/>
  <c r="CM49" i="18" l="1"/>
  <c r="L52" i="18"/>
  <c r="N52" i="18" s="1"/>
  <c r="N53" i="18" s="1"/>
  <c r="CM47" i="5"/>
  <c r="L50" i="5"/>
  <c r="N50" i="5" s="1"/>
  <c r="N51" i="5" s="1"/>
  <c r="D27" i="11" s="1"/>
  <c r="D36" i="11" s="1"/>
  <c r="C50" i="11" l="1"/>
  <c r="S4" i="17"/>
  <c r="C49" i="11"/>
  <c r="E27" i="11"/>
  <c r="C27" i="11"/>
  <c r="H15" i="18" l="1"/>
  <c r="G15" i="18"/>
  <c r="M15" i="18" s="1"/>
  <c r="L15" i="18"/>
  <c r="H21" i="18"/>
  <c r="H23" i="18" l="1"/>
  <c r="F26" i="18" s="1"/>
  <c r="G12" i="18"/>
  <c r="G16" i="18"/>
  <c r="G20" i="18" s="1"/>
  <c r="H9" i="18"/>
  <c r="I9" i="18"/>
  <c r="A149" i="6"/>
  <c r="A145" i="6"/>
  <c r="A120" i="6"/>
  <c r="A140" i="6"/>
  <c r="A121" i="6"/>
  <c r="J9" i="18" l="1"/>
  <c r="G24" i="18"/>
  <c r="E56" i="18"/>
  <c r="I12" i="18"/>
  <c r="A139" i="6"/>
  <c r="I16" i="18" l="1"/>
  <c r="I20" i="18" s="1"/>
  <c r="E58" i="18"/>
  <c r="J12" i="18"/>
  <c r="I24" i="18"/>
  <c r="H10" i="18"/>
  <c r="G10" i="18"/>
  <c r="H12" i="18"/>
  <c r="I10" i="18"/>
  <c r="A144" i="6"/>
  <c r="E60" i="18"/>
  <c r="J16" i="18" l="1"/>
  <c r="J20" i="18" s="1"/>
  <c r="K20" i="18"/>
  <c r="L20" i="18" s="1"/>
  <c r="M20" i="18" s="1"/>
  <c r="N20" i="18" s="1"/>
  <c r="O20" i="18" s="1"/>
  <c r="P20" i="18" s="1"/>
  <c r="Q20" i="18" s="1"/>
  <c r="R20" i="18" s="1"/>
  <c r="S20" i="18" s="1"/>
  <c r="T20" i="18" s="1"/>
  <c r="U20" i="18" s="1"/>
  <c r="V20" i="18" s="1"/>
  <c r="W20" i="18" s="1"/>
  <c r="X20" i="18" s="1"/>
  <c r="Y20" i="18" s="1"/>
  <c r="Z20" i="18" s="1"/>
  <c r="AA20" i="18" s="1"/>
  <c r="AB20" i="18" s="1"/>
  <c r="AC20" i="18" s="1"/>
  <c r="AD20" i="18" s="1"/>
  <c r="AE20" i="18" s="1"/>
  <c r="AF20" i="18" s="1"/>
  <c r="AG20" i="18" s="1"/>
  <c r="AH20" i="18" s="1"/>
  <c r="AI20" i="18" s="1"/>
  <c r="AJ20" i="18" s="1"/>
  <c r="AK20" i="18" s="1"/>
  <c r="AL20" i="18" s="1"/>
  <c r="AM20" i="18" s="1"/>
  <c r="AN20" i="18" s="1"/>
  <c r="AO20" i="18" s="1"/>
  <c r="AP20" i="18" s="1"/>
  <c r="AQ20" i="18" s="1"/>
  <c r="AR20" i="18" s="1"/>
  <c r="AS20" i="18" s="1"/>
  <c r="AT20" i="18" s="1"/>
  <c r="AU20" i="18" s="1"/>
  <c r="AV20" i="18" s="1"/>
  <c r="AW20" i="18" s="1"/>
  <c r="AX20" i="18" s="1"/>
  <c r="AY20" i="18" s="1"/>
  <c r="AZ20" i="18" s="1"/>
  <c r="BA20" i="18" s="1"/>
  <c r="BB20" i="18" s="1"/>
  <c r="BC20" i="18" s="1"/>
  <c r="BD20" i="18" s="1"/>
  <c r="BE20" i="18" s="1"/>
  <c r="BF20" i="18" s="1"/>
  <c r="BG20" i="18" s="1"/>
  <c r="BH20" i="18" s="1"/>
  <c r="BI20" i="18" s="1"/>
  <c r="BJ20" i="18" s="1"/>
  <c r="BK20" i="18" s="1"/>
  <c r="BL20" i="18" s="1"/>
  <c r="BM20" i="18" s="1"/>
  <c r="BN20" i="18" s="1"/>
  <c r="BO20" i="18" s="1"/>
  <c r="BP20" i="18" s="1"/>
  <c r="BQ20" i="18" s="1"/>
  <c r="BR20" i="18" s="1"/>
  <c r="BS20" i="18" s="1"/>
  <c r="BT20" i="18" s="1"/>
  <c r="BU20" i="18" s="1"/>
  <c r="BV20" i="18" s="1"/>
  <c r="BW20" i="18" s="1"/>
  <c r="BX20" i="18" s="1"/>
  <c r="BY20" i="18" s="1"/>
  <c r="BZ20" i="18" s="1"/>
  <c r="CA20" i="18" s="1"/>
  <c r="CB20" i="18" s="1"/>
  <c r="CC20" i="18" s="1"/>
  <c r="CD20" i="18" s="1"/>
  <c r="CE20" i="18" s="1"/>
  <c r="CF20" i="18" s="1"/>
  <c r="CG20" i="18" s="1"/>
  <c r="CH20" i="18" s="1"/>
  <c r="CI20" i="18" s="1"/>
  <c r="CJ20" i="18" s="1"/>
  <c r="CK20" i="18" s="1"/>
  <c r="CL20" i="18" s="1"/>
  <c r="CM20" i="18" s="1"/>
  <c r="CN20" i="18" s="1"/>
  <c r="CO20" i="18" s="1"/>
  <c r="CP20" i="18" s="1"/>
  <c r="CQ20" i="18" s="1"/>
  <c r="CR20" i="18" s="1"/>
  <c r="CS20" i="18" s="1"/>
  <c r="CT20" i="18" s="1"/>
  <c r="CU20" i="18" s="1"/>
  <c r="CV20" i="18" s="1"/>
  <c r="CW20" i="18" s="1"/>
  <c r="CX20" i="18" s="1"/>
  <c r="CY20" i="18" s="1"/>
  <c r="CZ20" i="18" s="1"/>
  <c r="DA20" i="18" s="1"/>
  <c r="DB20" i="18" s="1"/>
  <c r="DC20" i="18" s="1"/>
  <c r="DD20" i="18" s="1"/>
  <c r="DE20" i="18" s="1"/>
  <c r="DF20" i="18" s="1"/>
  <c r="DG20" i="18" s="1"/>
  <c r="DH20" i="18" s="1"/>
  <c r="DI20" i="18" s="1"/>
  <c r="DJ20" i="18" s="1"/>
  <c r="DK20" i="18" s="1"/>
  <c r="DL20" i="18" s="1"/>
  <c r="DM20" i="18" s="1"/>
  <c r="DN20" i="18" s="1"/>
  <c r="DO20" i="18" s="1"/>
  <c r="DP20" i="18" s="1"/>
  <c r="DQ20" i="18" s="1"/>
  <c r="DR20" i="18" s="1"/>
  <c r="DS20" i="18" s="1"/>
  <c r="DT20" i="18" s="1"/>
  <c r="DU20" i="18" s="1"/>
  <c r="DV20" i="18" s="1"/>
  <c r="DW20" i="18" s="1"/>
  <c r="DX20" i="18" s="1"/>
  <c r="DY20" i="18" s="1"/>
  <c r="DZ20" i="18" s="1"/>
  <c r="EA20" i="18" s="1"/>
  <c r="EB20" i="18" s="1"/>
  <c r="EC20" i="18" s="1"/>
  <c r="ED20" i="18" s="1"/>
  <c r="EE20" i="18" s="1"/>
  <c r="EF20" i="18" s="1"/>
  <c r="EG20" i="18" s="1"/>
  <c r="EH20" i="18" s="1"/>
  <c r="EI20" i="18" s="1"/>
  <c r="EJ20" i="18" s="1"/>
  <c r="EK20" i="18" s="1"/>
  <c r="EL20" i="18" s="1"/>
  <c r="EM20" i="18" s="1"/>
  <c r="EN20" i="18" s="1"/>
  <c r="EO20" i="18" s="1"/>
  <c r="EP20" i="18" s="1"/>
  <c r="EQ20" i="18" s="1"/>
  <c r="ER20" i="18" s="1"/>
  <c r="ES20" i="18" s="1"/>
  <c r="ET20" i="18" s="1"/>
  <c r="EU20" i="18" s="1"/>
  <c r="EV20" i="18" s="1"/>
  <c r="EW20" i="18" s="1"/>
  <c r="EX20" i="18" s="1"/>
  <c r="EY20" i="18" s="1"/>
  <c r="EZ20" i="18" s="1"/>
  <c r="FA20" i="18" s="1"/>
  <c r="FB20" i="18" s="1"/>
  <c r="FC20" i="18" s="1"/>
  <c r="FD20" i="18" s="1"/>
  <c r="FE20" i="18" s="1"/>
  <c r="FF20" i="18" s="1"/>
  <c r="FG20" i="18" s="1"/>
  <c r="FH20" i="18" s="1"/>
  <c r="FI20" i="18" s="1"/>
  <c r="FJ20" i="18" s="1"/>
  <c r="FK20" i="18" s="1"/>
  <c r="FL20" i="18" s="1"/>
  <c r="FM20" i="18" s="1"/>
  <c r="FN20" i="18" s="1"/>
  <c r="FO20" i="18" s="1"/>
  <c r="FP20" i="18" s="1"/>
  <c r="FQ20" i="18" s="1"/>
  <c r="FR20" i="18" s="1"/>
  <c r="FS20" i="18" s="1"/>
  <c r="FT20" i="18" s="1"/>
  <c r="FU20" i="18" s="1"/>
  <c r="FV20" i="18" s="1"/>
  <c r="FW20" i="18" s="1"/>
  <c r="FX20" i="18" s="1"/>
  <c r="FY20" i="18" s="1"/>
  <c r="FZ20" i="18" s="1"/>
  <c r="GA20" i="18" s="1"/>
  <c r="GB20" i="18" s="1"/>
  <c r="GC20" i="18" s="1"/>
  <c r="GD20" i="18" s="1"/>
  <c r="GE20" i="18" s="1"/>
  <c r="GF20" i="18" s="1"/>
  <c r="GG20" i="18" s="1"/>
  <c r="GH20" i="18" s="1"/>
  <c r="GI20" i="18" s="1"/>
  <c r="GJ20" i="18" s="1"/>
  <c r="GK20" i="18" s="1"/>
  <c r="GL20" i="18" s="1"/>
  <c r="GM20" i="18" s="1"/>
  <c r="GN20" i="18" s="1"/>
  <c r="GO20" i="18" s="1"/>
  <c r="GP20" i="18" s="1"/>
  <c r="GQ20" i="18" s="1"/>
  <c r="GR20" i="18" s="1"/>
  <c r="GS20" i="18" s="1"/>
  <c r="J24" i="18"/>
  <c r="H16" i="18"/>
  <c r="M10" i="18"/>
  <c r="L10" i="18"/>
  <c r="N11" i="18"/>
  <c r="F10" i="18"/>
  <c r="L92" i="18" l="1"/>
  <c r="D32" i="18"/>
  <c r="H20" i="18"/>
  <c r="L22" i="18" l="1"/>
  <c r="L24" i="18" s="1"/>
  <c r="N25" i="18" s="1"/>
  <c r="D62" i="18" s="1"/>
  <c r="D33" i="18"/>
  <c r="L93" i="18"/>
  <c r="L94" i="18" s="1"/>
  <c r="L91" i="18"/>
  <c r="L90" i="18" s="1"/>
  <c r="H24" i="18"/>
  <c r="K25" i="18" l="1"/>
  <c r="D61" i="18" s="1"/>
  <c r="D26" i="18"/>
  <c r="D56" i="18" l="1"/>
  <c r="J65" i="18" s="1"/>
  <c r="L34" i="18" l="1"/>
  <c r="L36" i="18" s="1"/>
  <c r="H65" i="18"/>
  <c r="G64" i="18"/>
  <c r="F65" i="18"/>
  <c r="G65" i="18"/>
  <c r="I65" i="18"/>
  <c r="F64" i="18"/>
  <c r="J64" i="18"/>
  <c r="I64" i="18"/>
  <c r="H64" i="18"/>
  <c r="D58" i="18"/>
  <c r="L38" i="18" l="1"/>
  <c r="D60" i="18"/>
  <c r="C75" i="18" l="1"/>
  <c r="L89" i="18"/>
  <c r="F52" i="18"/>
  <c r="A113" i="6"/>
  <c r="A104" i="6"/>
  <c r="A96" i="6"/>
  <c r="A152" i="6"/>
  <c r="A88" i="6"/>
  <c r="A147" i="6"/>
  <c r="A142" i="6"/>
  <c r="A137" i="6"/>
  <c r="A74" i="6"/>
  <c r="A79" i="6"/>
  <c r="A132" i="6"/>
  <c r="A133" i="6"/>
  <c r="A80" i="6"/>
  <c r="A22" i="6"/>
  <c r="A23" i="6"/>
  <c r="A24" i="6" s="1"/>
  <c r="A20" i="6" s="1"/>
  <c r="A131" i="6"/>
  <c r="A130" i="6"/>
  <c r="A95" i="6"/>
  <c r="A134" i="6"/>
  <c r="A87" i="6"/>
  <c r="A151" i="6"/>
  <c r="A84" i="6"/>
  <c r="A146" i="6"/>
  <c r="A129" i="6"/>
  <c r="A126" i="6"/>
  <c r="A141" i="6"/>
  <c r="A19" i="6"/>
  <c r="A12" i="6"/>
  <c r="A136" i="6"/>
  <c r="A135" i="6" s="1"/>
  <c r="A127" i="6" s="1"/>
  <c r="A122" i="6" s="1"/>
  <c r="A123" i="6"/>
  <c r="A124" i="6"/>
  <c r="A111" i="6"/>
  <c r="A103" i="6"/>
  <c r="A85" i="6" s="1"/>
  <c r="A13" i="6" s="1"/>
  <c r="A6" i="6" s="1"/>
  <c r="A7" i="6" s="1"/>
  <c r="A118" i="6"/>
  <c r="D63" i="18"/>
  <c r="A119" i="6"/>
  <c r="C89" i="18" l="1"/>
</calcChain>
</file>

<file path=xl/comments1.xml><?xml version="1.0" encoding="utf-8"?>
<comments xmlns="http://schemas.openxmlformats.org/spreadsheetml/2006/main">
  <authors>
    <author>K.T</author>
  </authors>
  <commentList>
    <comment ref="E45" authorId="0" shapeId="0">
      <text>
        <r>
          <rPr>
            <b/>
            <sz val="9"/>
            <color indexed="81"/>
            <rFont val="Tahoma"/>
            <family val="2"/>
          </rPr>
          <t>K.T:</t>
        </r>
        <r>
          <rPr>
            <sz val="9"/>
            <color indexed="81"/>
            <rFont val="Tahoma"/>
            <family val="2"/>
          </rPr>
          <t xml:space="preserve">
needs to be added to income statemtent cash start
</t>
        </r>
      </text>
    </comment>
  </commentList>
</comments>
</file>

<file path=xl/sharedStrings.xml><?xml version="1.0" encoding="utf-8"?>
<sst xmlns="http://schemas.openxmlformats.org/spreadsheetml/2006/main" count="556" uniqueCount="348">
  <si>
    <t>For Year Ending December 31</t>
  </si>
  <si>
    <t>Revenue</t>
  </si>
  <si>
    <t>Cost of Sales</t>
  </si>
  <si>
    <t>Gross Margin</t>
  </si>
  <si>
    <t>Operating Expenses</t>
  </si>
  <si>
    <t xml:space="preserve">   R&amp;D</t>
  </si>
  <si>
    <t xml:space="preserve">   Marking and Sales</t>
  </si>
  <si>
    <t xml:space="preserve">   SG&amp;A</t>
  </si>
  <si>
    <t xml:space="preserve">   Other</t>
  </si>
  <si>
    <t>Total Operating Expenses</t>
  </si>
  <si>
    <t>Operating Income</t>
  </si>
  <si>
    <t xml:space="preserve">   Interest and Other Income, Net</t>
  </si>
  <si>
    <t>Pre-tax Income</t>
  </si>
  <si>
    <t xml:space="preserve">   Income Tax Expense</t>
  </si>
  <si>
    <t>Net Income</t>
  </si>
  <si>
    <t>Earnings Per Share</t>
  </si>
  <si>
    <t xml:space="preserve">   Basic </t>
  </si>
  <si>
    <t xml:space="preserve">   Diluted</t>
  </si>
  <si>
    <t>Shares Outstanding</t>
  </si>
  <si>
    <t>Price Per Share</t>
  </si>
  <si>
    <t>D&amp;A</t>
  </si>
  <si>
    <t>EBIT</t>
  </si>
  <si>
    <t>EBITDA</t>
  </si>
  <si>
    <t>Margins ans a % of Net Sales</t>
  </si>
  <si>
    <t xml:space="preserve">   Cost of Sales</t>
  </si>
  <si>
    <t xml:space="preserve">   Gross Margin</t>
  </si>
  <si>
    <t xml:space="preserve">   Operating Income (EBIT)</t>
  </si>
  <si>
    <t xml:space="preserve">   Effective Tax Rate</t>
  </si>
  <si>
    <t xml:space="preserve">   Net Income</t>
  </si>
  <si>
    <t xml:space="preserve">   D&amp;A</t>
  </si>
  <si>
    <t xml:space="preserve">   CapEx</t>
  </si>
  <si>
    <t xml:space="preserve">   EBITDA</t>
  </si>
  <si>
    <t>Assets</t>
  </si>
  <si>
    <t xml:space="preserve">   Cash &amp; Cash Equivalents</t>
  </si>
  <si>
    <t xml:space="preserve">   Marketable Securities</t>
  </si>
  <si>
    <t xml:space="preserve">   Accounts Recievable</t>
  </si>
  <si>
    <t xml:space="preserve">   Inventories</t>
  </si>
  <si>
    <t xml:space="preserve">   Prepaid Expenses and Other Assets</t>
  </si>
  <si>
    <t>Total Current Assets</t>
  </si>
  <si>
    <t xml:space="preserve">   Equity Investments</t>
  </si>
  <si>
    <t xml:space="preserve">   PPE</t>
  </si>
  <si>
    <t xml:space="preserve">   Operating Lease Right-of-Use Assets</t>
  </si>
  <si>
    <t xml:space="preserve">   Intangible Assets</t>
  </si>
  <si>
    <t xml:space="preserve">   Goodwill</t>
  </si>
  <si>
    <t xml:space="preserve">   Other Non-Current Assets</t>
  </si>
  <si>
    <t>Total Assets</t>
  </si>
  <si>
    <t>Liabilities</t>
  </si>
  <si>
    <t xml:space="preserve">   Accounts Payable</t>
  </si>
  <si>
    <t xml:space="preserve">   Partners Payable</t>
  </si>
  <si>
    <t xml:space="preserve">   Operating Lease Liabilities, Current</t>
  </si>
  <si>
    <t xml:space="preserve">   Accrued Expenses and Other Current Liabilities</t>
  </si>
  <si>
    <t xml:space="preserve">   Defferred Revenue and Deposits</t>
  </si>
  <si>
    <t>Total Current Liabilities</t>
  </si>
  <si>
    <t xml:space="preserve">   Operating Lease Liabilities, Non-Current</t>
  </si>
  <si>
    <t xml:space="preserve">   Other Non-Current Liabilities</t>
  </si>
  <si>
    <t>Total Liabilities</t>
  </si>
  <si>
    <t>Shareholder's Equity</t>
  </si>
  <si>
    <t xml:space="preserve">   Additional Paid-In Capital</t>
  </si>
  <si>
    <t xml:space="preserve">   Retained Earnings</t>
  </si>
  <si>
    <t xml:space="preserve">   Accumulated Other Comprehensive Income (Loss)</t>
  </si>
  <si>
    <t>Total Shareholder's Equity</t>
  </si>
  <si>
    <t>Total Liabilities and Shareholder's Equity</t>
  </si>
  <si>
    <t>Operating Activities</t>
  </si>
  <si>
    <t>Adjustments to reconcile net income to net cash provided by operating activities:</t>
  </si>
  <si>
    <t xml:space="preserve">   Depreciation and Amortization</t>
  </si>
  <si>
    <t xml:space="preserve">   Share Based Compensation</t>
  </si>
  <si>
    <t xml:space="preserve">   Defferred Income Taxes</t>
  </si>
  <si>
    <t>Changes in Assets and Liabilities</t>
  </si>
  <si>
    <t xml:space="preserve">   Prepaid Expenses and Other Current Assets</t>
  </si>
  <si>
    <t xml:space="preserve">   Other Assets</t>
  </si>
  <si>
    <t xml:space="preserve">   Deffered Revenue and Deposits</t>
  </si>
  <si>
    <t xml:space="preserve">   Other Liabilities</t>
  </si>
  <si>
    <t>Net Changes in Working Capital</t>
  </si>
  <si>
    <t>Cash from Operating Activities</t>
  </si>
  <si>
    <t>Investing Activities</t>
  </si>
  <si>
    <t xml:space="preserve">   Purchases of Marketable Securities</t>
  </si>
  <si>
    <t xml:space="preserve">   Sales of Marketable Securities</t>
  </si>
  <si>
    <t xml:space="preserve">   Maturities of Marketable Securities</t>
  </si>
  <si>
    <t xml:space="preserve">   Purchases of Equity Investments</t>
  </si>
  <si>
    <t xml:space="preserve">   Acquisitions of businesses</t>
  </si>
  <si>
    <t xml:space="preserve">   Other Investing Activities</t>
  </si>
  <si>
    <t>Cash from Investing Activities</t>
  </si>
  <si>
    <t>Financing Activities</t>
  </si>
  <si>
    <t xml:space="preserve">   Taxes Paid Related to Settlements</t>
  </si>
  <si>
    <t xml:space="preserve">   Common Stock Repurchased</t>
  </si>
  <si>
    <t xml:space="preserve">   Principal Payment of Finance Leases</t>
  </si>
  <si>
    <t xml:space="preserve">   Net Change in Overdraft in Cash Pooling Entities</t>
  </si>
  <si>
    <t xml:space="preserve">   Cash Dividends Paid</t>
  </si>
  <si>
    <t xml:space="preserve">   Other Financing Activities</t>
  </si>
  <si>
    <t>Cash from Financing Activities</t>
  </si>
  <si>
    <t>Effect of Exchange Rate Changes on Cash</t>
  </si>
  <si>
    <t>Net Increse (Decrease) in Cash</t>
  </si>
  <si>
    <t>Cash at Beginning of Period</t>
  </si>
  <si>
    <t>Cash at End of Period</t>
  </si>
  <si>
    <t>Free Cash Flow</t>
  </si>
  <si>
    <t>I. Liquidity Ratios</t>
  </si>
  <si>
    <t>Current Ratio</t>
  </si>
  <si>
    <t>CA/CL</t>
  </si>
  <si>
    <t>Quick Ratio</t>
  </si>
  <si>
    <t>(CA-Inventory)/CL</t>
  </si>
  <si>
    <t>Cash Ratio</t>
  </si>
  <si>
    <t>Cash/CL</t>
  </si>
  <si>
    <t>II. Financial Leverage Ratios</t>
  </si>
  <si>
    <t>Total Debt Ratio</t>
  </si>
  <si>
    <t>(TA-TE)/TA</t>
  </si>
  <si>
    <t>Debt-Equity Ratio</t>
  </si>
  <si>
    <t>TD/TE</t>
  </si>
  <si>
    <t>Equity Multiplier</t>
  </si>
  <si>
    <t>TA/TE</t>
  </si>
  <si>
    <t>Times Interest Earned</t>
  </si>
  <si>
    <t>EBIT/Interest</t>
  </si>
  <si>
    <t>Cash Coverage Ratio</t>
  </si>
  <si>
    <t>(EBIT+Depreciation)/Interest</t>
  </si>
  <si>
    <t>III. Asset Management Ratio</t>
  </si>
  <si>
    <t>Inventory Turnover</t>
  </si>
  <si>
    <t>COGS/Inventory</t>
  </si>
  <si>
    <t>Days' Sales in Inventory</t>
  </si>
  <si>
    <t>365/IT</t>
  </si>
  <si>
    <t>Recievables Turnover</t>
  </si>
  <si>
    <t>Sales/AR</t>
  </si>
  <si>
    <t>Days' Sales in Recievables</t>
  </si>
  <si>
    <t>365/RT</t>
  </si>
  <si>
    <t>Payables Turnover</t>
  </si>
  <si>
    <t>COGS/AP</t>
  </si>
  <si>
    <t>Days' Costs in Payables</t>
  </si>
  <si>
    <t>365/PT</t>
  </si>
  <si>
    <t>Total Asset Turnover</t>
  </si>
  <si>
    <t>Sales/TA</t>
  </si>
  <si>
    <t>Capital Intensity</t>
  </si>
  <si>
    <t>1/TAT</t>
  </si>
  <si>
    <t>IV. Profitability Measures</t>
  </si>
  <si>
    <t>Profit Margin</t>
  </si>
  <si>
    <t>NI/Sales</t>
  </si>
  <si>
    <t>Return on Assets</t>
  </si>
  <si>
    <t>NI/TA</t>
  </si>
  <si>
    <t>Return on Equity</t>
  </si>
  <si>
    <t>NI/TE</t>
  </si>
  <si>
    <t>V. Market Value Ratios</t>
  </si>
  <si>
    <t>Price-Earnings Ratio</t>
  </si>
  <si>
    <t>PPS/EPS</t>
  </si>
  <si>
    <t>Sales/SO</t>
  </si>
  <si>
    <t>Price-Sales Ratio</t>
  </si>
  <si>
    <t>PPS/SPS</t>
  </si>
  <si>
    <t>Book Value Per Share</t>
  </si>
  <si>
    <t>TE/SO</t>
  </si>
  <si>
    <t>Market-to-Book Ratio</t>
  </si>
  <si>
    <t>PPS/BVPS</t>
  </si>
  <si>
    <t>Market Value</t>
  </si>
  <si>
    <t>PPS*SO</t>
  </si>
  <si>
    <t>Enterprise Value</t>
  </si>
  <si>
    <t>MV+Debt-Cash</t>
  </si>
  <si>
    <t>EBITDA Ratio</t>
  </si>
  <si>
    <t>EV/EBITDA</t>
  </si>
  <si>
    <t>VI. Dupont Identity</t>
  </si>
  <si>
    <t>ROE (Basic)</t>
  </si>
  <si>
    <t>ROE</t>
  </si>
  <si>
    <t>PM*TAT*EM</t>
  </si>
  <si>
    <t>VII. Payout and Retention Ratios</t>
  </si>
  <si>
    <t>Retintion Ratio (b)</t>
  </si>
  <si>
    <t>(NI-Dividend)/NI</t>
  </si>
  <si>
    <t>Dividend Payout Ratio (1-b)</t>
  </si>
  <si>
    <t>1-b</t>
  </si>
  <si>
    <t>Internal Growth Rate</t>
  </si>
  <si>
    <t>(ROA*b)/1-(ROA*b)</t>
  </si>
  <si>
    <t>Sustainable Growth Rate</t>
  </si>
  <si>
    <t>(ROE*b)/1-(ROA*b)</t>
  </si>
  <si>
    <t>Discounted Cash Flow</t>
  </si>
  <si>
    <t>Historical</t>
  </si>
  <si>
    <t>Top-Down Unlevered Free Cash Flow (UFCF) Calculations</t>
  </si>
  <si>
    <t xml:space="preserve">   Period</t>
  </si>
  <si>
    <t xml:space="preserve">   Less: Depreciation &amp; Amortization</t>
  </si>
  <si>
    <t xml:space="preserve">   EBIT</t>
  </si>
  <si>
    <t xml:space="preserve">   Taxes</t>
  </si>
  <si>
    <t xml:space="preserve">   Tax-Effected Unlevered Taxable Income</t>
  </si>
  <si>
    <t xml:space="preserve">   Plus: Depreciation &amp; Amortization</t>
  </si>
  <si>
    <t xml:space="preserve">   Plus: Working Capital Surplus / (Deficiency)</t>
  </si>
  <si>
    <t xml:space="preserve">   Less: CapEx</t>
  </si>
  <si>
    <t>Unlevered Free Cash Flow</t>
  </si>
  <si>
    <t xml:space="preserve">   Discount Rate (WACC)</t>
  </si>
  <si>
    <t xml:space="preserve">   Present Value of Free Cash Flows</t>
  </si>
  <si>
    <t>Sum of Present Values of FCFs</t>
  </si>
  <si>
    <t>Terminal Value</t>
  </si>
  <si>
    <t xml:space="preserve">   Growth in Perpetuity Method</t>
  </si>
  <si>
    <t xml:space="preserve">   Long Term Growth Rate</t>
  </si>
  <si>
    <t xml:space="preserve">   WACC</t>
  </si>
  <si>
    <t xml:space="preserve">   Free Cash Flow (t+1)</t>
  </si>
  <si>
    <t xml:space="preserve">   Terminal Value</t>
  </si>
  <si>
    <t xml:space="preserve">   Present Value of Terminal Value</t>
  </si>
  <si>
    <t>WACC</t>
  </si>
  <si>
    <t xml:space="preserve">   Share Price</t>
  </si>
  <si>
    <t xml:space="preserve">   Diluted Shares Outstanding</t>
  </si>
  <si>
    <t xml:space="preserve">   Cost of Debt</t>
  </si>
  <si>
    <t xml:space="preserve">   Tax Rate</t>
  </si>
  <si>
    <t xml:space="preserve">   After-Tax Cost of Debt</t>
  </si>
  <si>
    <t xml:space="preserve">   Beta</t>
  </si>
  <si>
    <t xml:space="preserve">   Risk Free Rate</t>
  </si>
  <si>
    <t>(US 10 year Treasury)</t>
  </si>
  <si>
    <t xml:space="preserve">   Expected Rate of Return</t>
  </si>
  <si>
    <t>(S&amp;P 500 10 year return adjusted for inflation)</t>
  </si>
  <si>
    <t xml:space="preserve">   Cost of Equity</t>
  </si>
  <si>
    <t xml:space="preserve">   Total Debt</t>
  </si>
  <si>
    <t xml:space="preserve">   Total Equity</t>
  </si>
  <si>
    <t xml:space="preserve">   Total Capital</t>
  </si>
  <si>
    <t xml:space="preserve">   Debt Weighting</t>
  </si>
  <si>
    <t xml:space="preserve">   Equity Weighting</t>
  </si>
  <si>
    <t>Enterprise Value to Equity Value</t>
  </si>
  <si>
    <t xml:space="preserve">   Enterprise Value</t>
  </si>
  <si>
    <t xml:space="preserve">   Less: Net Debt</t>
  </si>
  <si>
    <t xml:space="preserve">   Equity Value</t>
  </si>
  <si>
    <t>($ in thousands, except per share data)</t>
  </si>
  <si>
    <t>Revenue Growth</t>
  </si>
  <si>
    <t>(As of jan 2nd 2024)</t>
  </si>
  <si>
    <t xml:space="preserve">   Marketing and Sales</t>
  </si>
  <si>
    <t xml:space="preserve">WACC calculation </t>
  </si>
  <si>
    <t>Sales Per Share</t>
  </si>
  <si>
    <t xml:space="preserve">   Accounts Recievables</t>
  </si>
  <si>
    <t>($ in thousands except per share data)</t>
  </si>
  <si>
    <t>MONTE CARLO SIMULATION</t>
  </si>
  <si>
    <t>&gt;Outputs:</t>
  </si>
  <si>
    <t>&gt;inputs:</t>
  </si>
  <si>
    <t>share outstanding</t>
  </si>
  <si>
    <t>% of registered vehicle ratio</t>
  </si>
  <si>
    <t>Revenue growth average (CAGR)</t>
  </si>
  <si>
    <t>TT</t>
  </si>
  <si>
    <t>%in India</t>
  </si>
  <si>
    <t>NPV=</t>
  </si>
  <si>
    <t>%euro+Eu</t>
  </si>
  <si>
    <t xml:space="preserve">%US </t>
  </si>
  <si>
    <t>Total</t>
  </si>
  <si>
    <t>Cash Flow Statement</t>
  </si>
  <si>
    <t>Income Statement</t>
  </si>
  <si>
    <t>current</t>
  </si>
  <si>
    <t>Revenue Breakdown</t>
  </si>
  <si>
    <t>Forecast</t>
  </si>
  <si>
    <t>ARR booked</t>
  </si>
  <si>
    <t>x</t>
  </si>
  <si>
    <t>Liabilities growth rate%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</si>
  <si>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</si>
  <si>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</si>
  <si>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</si>
  <si>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</si>
  <si>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</si>
  <si>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</si>
  <si>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</si>
  <si>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</si>
  <si>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</si>
  <si>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</si>
  <si>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Cumulative Monte Carlo results</t>
  </si>
  <si>
    <t>Average of results</t>
  </si>
  <si>
    <t>Standard Deviation</t>
  </si>
  <si>
    <t>BASE Margin of Safety</t>
  </si>
  <si>
    <t>MIN</t>
  </si>
  <si>
    <t>MAX</t>
  </si>
  <si>
    <t>MAX MC Margin of Safety</t>
  </si>
  <si>
    <t>MIN MC Margin of Safety</t>
  </si>
  <si>
    <t>AVG MC Margin of Safety</t>
  </si>
  <si>
    <t>Q3 2023 Investor presentation</t>
  </si>
  <si>
    <t>Balance Sheet</t>
  </si>
  <si>
    <t>Terminal growth</t>
  </si>
  <si>
    <t>Sensitivity Analysis</t>
  </si>
  <si>
    <t>Ratio Analysis (WIP)</t>
  </si>
  <si>
    <t>Change terminal growth rate to 1%</t>
  </si>
  <si>
    <t>FCFE</t>
  </si>
  <si>
    <t>FCFF</t>
  </si>
  <si>
    <t>NPV 3 stage growth model FCFE</t>
  </si>
  <si>
    <t>NPV 3 stage growth model FCFF</t>
  </si>
  <si>
    <t xml:space="preserve">  2 S Equity Value Per Share FCFF</t>
  </si>
  <si>
    <t>FWD</t>
  </si>
  <si>
    <t>EV/EBIT</t>
  </si>
  <si>
    <t>EBITDA MULTIPLE</t>
  </si>
  <si>
    <t>TV</t>
  </si>
  <si>
    <t>EBITDA MULTIPLE METHOD</t>
  </si>
  <si>
    <t>AVERAGE SHARE PRICE</t>
  </si>
  <si>
    <t>MULTIPLE EBITDA</t>
  </si>
  <si>
    <t>SENSITIVITY TERMINAL VALUE</t>
  </si>
  <si>
    <t>SENSITIVITY EBITDA</t>
  </si>
  <si>
    <t xml:space="preserve">ROADZEN INTRINSIC VALUATION </t>
  </si>
  <si>
    <t>EBITDA MULTIPLE METHOD FCFF</t>
  </si>
  <si>
    <t>MIDDLE</t>
  </si>
  <si>
    <t>LOW</t>
  </si>
  <si>
    <t>HIGH</t>
  </si>
  <si>
    <t>STD</t>
  </si>
  <si>
    <t>MED</t>
  </si>
  <si>
    <t>AVG</t>
  </si>
  <si>
    <t>(FD 000)</t>
  </si>
  <si>
    <t>Current Stock Price</t>
  </si>
  <si>
    <t>(US$/sh)</t>
  </si>
  <si>
    <t>Terminal Growth Rate</t>
  </si>
  <si>
    <t>Terminal EBITDA Multiple 1</t>
  </si>
  <si>
    <t>Weighted Average Cost of Capital (WACC)</t>
  </si>
  <si>
    <t>All figures in USD thousands</t>
  </si>
  <si>
    <t>Worst case</t>
  </si>
  <si>
    <t>according to Yahoo</t>
  </si>
  <si>
    <t>Scenario analysis</t>
  </si>
  <si>
    <t>Revenue Growth (% Change)</t>
  </si>
  <si>
    <t>Upside Case</t>
  </si>
  <si>
    <t>cases</t>
  </si>
  <si>
    <t>Current</t>
  </si>
  <si>
    <t xml:space="preserve">SG&amp;A Increase(% change) </t>
  </si>
  <si>
    <t>Switch</t>
  </si>
  <si>
    <t>SP</t>
  </si>
  <si>
    <t xml:space="preserve"> Choose</t>
  </si>
  <si>
    <t xml:space="preserve">   Other(Abnormal expense)</t>
  </si>
  <si>
    <t>Base case</t>
  </si>
  <si>
    <t xml:space="preserve">COGS (% change) </t>
  </si>
  <si>
    <t xml:space="preserve">PPE (% change) </t>
  </si>
  <si>
    <t xml:space="preserve">Depreciation &amp; Amortization (% change) </t>
  </si>
  <si>
    <t xml:space="preserve">Marketing and sales Expense (% change) </t>
  </si>
  <si>
    <t>Inputs &amp; assumptions</t>
  </si>
  <si>
    <t>Margin of Safety %</t>
  </si>
  <si>
    <t>Margin of Safety $</t>
  </si>
  <si>
    <t xml:space="preserve">Switch -&gt; </t>
  </si>
  <si>
    <t>*figures based on management estimation of 10K</t>
  </si>
  <si>
    <t>1- worst</t>
  </si>
  <si>
    <t>2-base</t>
  </si>
  <si>
    <t>3-best</t>
  </si>
  <si>
    <t>Consolidated Share Price</t>
  </si>
  <si>
    <t>NASDAQ:RDZN</t>
  </si>
  <si>
    <t>Unlevered Beta           Switch -&gt;</t>
  </si>
  <si>
    <t>Scenario Analysis - Drivers</t>
  </si>
  <si>
    <t>Net income based 3 stage DCF</t>
  </si>
  <si>
    <t>A</t>
  </si>
  <si>
    <t>F</t>
  </si>
  <si>
    <t>stage 1</t>
  </si>
  <si>
    <t>decline stage</t>
  </si>
  <si>
    <t>NA</t>
  </si>
  <si>
    <t>NET INCOME</t>
  </si>
  <si>
    <t>Terminal free cashflow</t>
  </si>
  <si>
    <t>TERMINAL FCF S ANALYSIS</t>
  </si>
  <si>
    <t>Net income</t>
  </si>
  <si>
    <t>Sum of Present Values of FCFE</t>
  </si>
  <si>
    <t>EV FCFE</t>
  </si>
  <si>
    <t>&lt;-- Monte carlo sensititivty FCFF</t>
  </si>
  <si>
    <t>&lt;-- Monte carlo sensititivty FCFE</t>
  </si>
  <si>
    <t>NET income growth %</t>
  </si>
  <si>
    <t>EBITDA growth %</t>
  </si>
  <si>
    <t>FCFF Monte carlo</t>
  </si>
  <si>
    <t>FCFE Monte carlo</t>
  </si>
  <si>
    <t>HF</t>
  </si>
  <si>
    <t>LF</t>
  </si>
  <si>
    <t>FCFE MONTE CARLO</t>
  </si>
  <si>
    <t>FCFF MONTE CARLO</t>
  </si>
  <si>
    <t>MONTECARLO RESULTS GEN</t>
  </si>
  <si>
    <t>2 stage FCFE</t>
  </si>
  <si>
    <t xml:space="preserve">SINCE IPO 95% interval </t>
  </si>
  <si>
    <t>LTM ARIMA 90% interval</t>
  </si>
  <si>
    <t>Discounted Cash Flow Monte Carlo probability</t>
  </si>
  <si>
    <t>Cost of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</si>
</sst>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8" formatCode="&quot;$&quot;#,##0.00;[Red]\-&quot;$&quot;#,##0.0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_);_(&quot;$&quot;* \(#,##0\);_(&quot;$&quot;* &quot;-&quot;??_);_(@_)"/>
    <numFmt numFmtId="165" formatCode="#,##0;\(#,##0\)"/>
    <numFmt numFmtId="166" formatCode="#,##0.00;\(#,##0.00\)"/>
    <numFmt numFmtId="167" formatCode="&quot;$&quot;#,##0"/>
    <numFmt numFmtId="168" formatCode="_(&quot;$&quot;* #,##0.00_);_(&quot;$&quot;* \(#,##0.00\);_(&quot;$&quot;* &quot;-&quot;??_);_(@_)"/>
    <numFmt numFmtId="169" formatCode="0.0%"/>
    <numFmt numFmtId="170" formatCode="0.0\X"/>
    <numFmt numFmtId="171" formatCode="0\x"/>
    <numFmt numFmtId="172" formatCode="0\X"/>
    <numFmt numFmtId="173" formatCode="0&quot;A&quot;"/>
    <numFmt numFmtId="174" formatCode="_(#,##0_)_%;\(#,##0\)_%;_(&quot;–&quot;_)_%;_(@_)_%"/>
    <numFmt numFmtId="175" formatCode="0&quot;F&quot;"/>
    <numFmt numFmtId="176" formatCode="yyyy/mm/dd;@"/>
    <numFmt numFmtId="177" formatCode="_(#,##0.0%_);\(#,##0.0%\);_(&quot;–&quot;_)_%;_(@_)_%"/>
    <numFmt numFmtId="178" formatCode="_-* #,##0_-;\(#,##0\)_-;_-* &quot;-&quot;_-;_-@_-"/>
    <numFmt numFmtId="179" formatCode="#,##0_ ;\-#,##0\ "/>
    <numFmt numFmtId="180" formatCode="0.0"/>
    <numFmt numFmtId="181" formatCode="_-* #,##0_-;\-* #,##0_-;_-* &quot;-&quot;??_-;_-@_-"/>
    <numFmt numFmtId="182" formatCode="0.000%"/>
    <numFmt numFmtId="183" formatCode="_-* #,##0.00000_-;\-* #,##0.00000_-;_-* &quot;-&quot;??_-;_-@_-"/>
  </numFmts>
  <fonts count="7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name val="Arial"/>
      <family val="2"/>
    </font>
    <font>
      <sz val="10"/>
      <color rgb="FF1155CC"/>
      <name val="Arial"/>
      <family val="2"/>
      <scheme val="minor"/>
    </font>
    <font>
      <sz val="10"/>
      <color rgb="FF267C00"/>
      <name val="Arial"/>
      <family val="2"/>
      <scheme val="minor"/>
    </font>
    <font>
      <sz val="10"/>
      <color rgb="FF1C4587"/>
      <name val="Arial"/>
      <family val="2"/>
      <scheme val="minor"/>
    </font>
    <font>
      <sz val="10"/>
      <color rgb="FF0B5394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u/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u/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FFFFFF"/>
      <name val="Arial"/>
      <family val="2"/>
      <scheme val="major"/>
    </font>
    <font>
      <sz val="10"/>
      <name val="Arial"/>
      <family val="2"/>
      <scheme val="major"/>
    </font>
    <font>
      <sz val="10"/>
      <color rgb="FF1155CC"/>
      <name val="Arial"/>
      <family val="2"/>
      <scheme val="major"/>
    </font>
    <font>
      <sz val="10"/>
      <color rgb="FF267C00"/>
      <name val="Arial"/>
      <family val="2"/>
      <scheme val="major"/>
    </font>
    <font>
      <b/>
      <sz val="10"/>
      <color rgb="FFFF0000"/>
      <name val="Arial"/>
      <family val="2"/>
      <scheme val="major"/>
    </font>
    <font>
      <sz val="10"/>
      <color rgb="FF0B5394"/>
      <name val="Arial"/>
      <family val="2"/>
      <scheme val="major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b/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i/>
      <u/>
      <sz val="10"/>
      <color rgb="FF000000"/>
      <name val="Arial"/>
      <family val="2"/>
      <scheme val="minor"/>
    </font>
    <font>
      <sz val="10"/>
      <color theme="0"/>
      <name val="Open Sans"/>
      <family val="2"/>
    </font>
    <font>
      <b/>
      <sz val="14"/>
      <color rgb="FF0000FF"/>
      <name val="Open Sans"/>
      <family val="2"/>
    </font>
    <font>
      <b/>
      <sz val="10"/>
      <color rgb="FF3271D2"/>
      <name val="Open Sans"/>
      <family val="2"/>
    </font>
    <font>
      <sz val="12"/>
      <color theme="1"/>
      <name val="Open Sans"/>
      <family val="2"/>
    </font>
    <font>
      <i/>
      <sz val="10"/>
      <color theme="1"/>
      <name val="Open Sans"/>
      <family val="2"/>
    </font>
    <font>
      <sz val="10"/>
      <color rgb="FF0000FF"/>
      <name val="Open Sans"/>
      <family val="2"/>
    </font>
    <font>
      <sz val="14"/>
      <color theme="1"/>
      <name val="Open Sans"/>
      <family val="2"/>
    </font>
    <font>
      <b/>
      <sz val="14"/>
      <name val="Open Sans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rgb="FF0000FF"/>
      <name val="Arial Narrow"/>
      <family val="2"/>
    </font>
    <font>
      <i/>
      <sz val="12"/>
      <color theme="1"/>
      <name val="Arial Narrow"/>
      <family val="2"/>
    </font>
    <font>
      <sz val="10"/>
      <name val="Arial"/>
      <family val="2"/>
      <scheme val="minor"/>
    </font>
    <font>
      <b/>
      <sz val="12"/>
      <color rgb="FFC00000"/>
      <name val="Arial Narrow"/>
      <family val="2"/>
    </font>
    <font>
      <sz val="12"/>
      <color rgb="FFC00000"/>
      <name val="Arial Narrow"/>
      <family val="2"/>
    </font>
    <font>
      <i/>
      <sz val="12"/>
      <color rgb="FFC00000"/>
      <name val="Arial Narrow"/>
      <family val="2"/>
    </font>
    <font>
      <b/>
      <i/>
      <sz val="10"/>
      <name val="Arial"/>
      <family val="2"/>
      <scheme val="minor"/>
    </font>
    <font>
      <b/>
      <u/>
      <sz val="10"/>
      <name val="Arial"/>
      <family val="2"/>
      <scheme val="minor"/>
    </font>
    <font>
      <i/>
      <sz val="10"/>
      <color theme="1"/>
      <name val="Arial Narrow"/>
      <family val="2"/>
    </font>
    <font>
      <b/>
      <u/>
      <sz val="14"/>
      <color rgb="FF000000"/>
      <name val="Arial"/>
      <family val="2"/>
      <scheme val="major"/>
    </font>
    <font>
      <u/>
      <sz val="10"/>
      <color rgb="FF000000"/>
      <name val="Arial"/>
      <family val="2"/>
      <scheme val="major"/>
    </font>
    <font>
      <b/>
      <sz val="10"/>
      <color rgb="FFC00000"/>
      <name val="Arial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FFFFFF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rgb="FF3271D2"/>
      </top>
      <bottom/>
      <diagonal/>
    </border>
    <border>
      <left/>
      <right style="thin">
        <color indexed="64"/>
      </right>
      <top style="thin">
        <color rgb="FF3271D2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44" fontId="16" fillId="0" borderId="0" applyFont="0" applyFill="0" applyBorder="0" applyAlignment="0" applyProtection="0"/>
    <xf numFmtId="0" fontId="1" fillId="0" borderId="0"/>
  </cellStyleXfs>
  <cellXfs count="604">
    <xf numFmtId="0" fontId="0" fillId="0" borderId="0" xfId="0" applyFont="1" applyAlignment="1"/>
    <xf numFmtId="0" fontId="2" fillId="2" borderId="0" xfId="0" applyFont="1" applyFill="1"/>
    <xf numFmtId="0" fontId="3" fillId="3" borderId="1" xfId="0" applyFont="1" applyFill="1" applyBorder="1" applyAlignment="1"/>
    <xf numFmtId="0" fontId="2" fillId="3" borderId="3" xfId="0" applyFont="1" applyFill="1" applyBorder="1"/>
    <xf numFmtId="0" fontId="2" fillId="3" borderId="4" xfId="0" applyFont="1" applyFill="1" applyBorder="1" applyAlignment="1"/>
    <xf numFmtId="0" fontId="2" fillId="3" borderId="0" xfId="0" applyFont="1" applyFill="1"/>
    <xf numFmtId="0" fontId="2" fillId="3" borderId="0" xfId="0" applyFont="1" applyFill="1" applyAlignment="1"/>
    <xf numFmtId="0" fontId="4" fillId="4" borderId="6" xfId="0" applyFont="1" applyFill="1" applyBorder="1" applyAlignment="1"/>
    <xf numFmtId="0" fontId="4" fillId="4" borderId="5" xfId="0" applyFont="1" applyFill="1" applyBorder="1" applyAlignment="1"/>
    <xf numFmtId="0" fontId="3" fillId="3" borderId="4" xfId="0" applyFont="1" applyFill="1" applyBorder="1" applyAlignment="1"/>
    <xf numFmtId="164" fontId="6" fillId="3" borderId="5" xfId="0" applyNumberFormat="1" applyFont="1" applyFill="1" applyBorder="1" applyAlignment="1"/>
    <xf numFmtId="0" fontId="2" fillId="3" borderId="8" xfId="0" applyFont="1" applyFill="1" applyBorder="1" applyAlignment="1"/>
    <xf numFmtId="0" fontId="2" fillId="3" borderId="9" xfId="0" applyFont="1" applyFill="1" applyBorder="1"/>
    <xf numFmtId="165" fontId="6" fillId="3" borderId="9" xfId="0" applyNumberFormat="1" applyFont="1" applyFill="1" applyBorder="1" applyAlignment="1"/>
    <xf numFmtId="165" fontId="6" fillId="3" borderId="10" xfId="0" applyNumberFormat="1" applyFont="1" applyFill="1" applyBorder="1" applyAlignment="1"/>
    <xf numFmtId="165" fontId="7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64" fontId="3" fillId="3" borderId="1" xfId="0" applyNumberFormat="1" applyFont="1" applyFill="1" applyBorder="1"/>
    <xf numFmtId="164" fontId="3" fillId="3" borderId="2" xfId="0" applyNumberFormat="1" applyFont="1" applyFill="1" applyBorder="1"/>
    <xf numFmtId="164" fontId="2" fillId="3" borderId="5" xfId="0" applyNumberFormat="1" applyFont="1" applyFill="1" applyBorder="1"/>
    <xf numFmtId="165" fontId="8" fillId="3" borderId="5" xfId="0" applyNumberFormat="1" applyFont="1" applyFill="1" applyBorder="1" applyAlignment="1"/>
    <xf numFmtId="165" fontId="2" fillId="3" borderId="4" xfId="0" applyNumberFormat="1" applyFont="1" applyFill="1" applyBorder="1"/>
    <xf numFmtId="165" fontId="2" fillId="3" borderId="0" xfId="0" applyNumberFormat="1" applyFont="1" applyFill="1"/>
    <xf numFmtId="165" fontId="2" fillId="3" borderId="5" xfId="0" applyNumberFormat="1" applyFont="1" applyFill="1" applyBorder="1"/>
    <xf numFmtId="164" fontId="2" fillId="3" borderId="9" xfId="0" applyNumberFormat="1" applyFont="1" applyFill="1" applyBorder="1"/>
    <xf numFmtId="164" fontId="2" fillId="3" borderId="8" xfId="0" applyNumberFormat="1" applyFont="1" applyFill="1" applyBorder="1"/>
    <xf numFmtId="164" fontId="3" fillId="3" borderId="4" xfId="0" applyNumberFormat="1" applyFont="1" applyFill="1" applyBorder="1"/>
    <xf numFmtId="165" fontId="7" fillId="3" borderId="4" xfId="0" applyNumberFormat="1" applyFont="1" applyFill="1" applyBorder="1"/>
    <xf numFmtId="164" fontId="2" fillId="3" borderId="4" xfId="0" applyNumberFormat="1" applyFont="1" applyFill="1" applyBorder="1"/>
    <xf numFmtId="165" fontId="8" fillId="3" borderId="9" xfId="0" applyNumberFormat="1" applyFont="1" applyFill="1" applyBorder="1" applyAlignment="1"/>
    <xf numFmtId="165" fontId="7" fillId="3" borderId="8" xfId="0" applyNumberFormat="1" applyFont="1" applyFill="1" applyBorder="1"/>
    <xf numFmtId="165" fontId="7" fillId="3" borderId="9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6" fontId="7" fillId="3" borderId="4" xfId="0" applyNumberFormat="1" applyFont="1" applyFill="1" applyBorder="1" applyAlignment="1"/>
    <xf numFmtId="166" fontId="8" fillId="3" borderId="5" xfId="0" applyNumberFormat="1" applyFont="1" applyFill="1" applyBorder="1"/>
    <xf numFmtId="166" fontId="7" fillId="3" borderId="4" xfId="0" applyNumberFormat="1" applyFont="1" applyFill="1" applyBorder="1"/>
    <xf numFmtId="10" fontId="2" fillId="3" borderId="0" xfId="0" applyNumberFormat="1" applyFont="1" applyFill="1"/>
    <xf numFmtId="10" fontId="2" fillId="3" borderId="4" xfId="0" applyNumberFormat="1" applyFont="1" applyFill="1" applyBorder="1"/>
    <xf numFmtId="10" fontId="2" fillId="3" borderId="5" xfId="0" applyNumberFormat="1" applyFont="1" applyFill="1" applyBorder="1"/>
    <xf numFmtId="165" fontId="9" fillId="3" borderId="9" xfId="0" applyNumberFormat="1" applyFont="1" applyFill="1" applyBorder="1"/>
    <xf numFmtId="165" fontId="3" fillId="3" borderId="4" xfId="0" applyNumberFormat="1" applyFont="1" applyFill="1" applyBorder="1"/>
    <xf numFmtId="0" fontId="10" fillId="3" borderId="1" xfId="0" applyFont="1" applyFill="1" applyBorder="1" applyAlignment="1"/>
    <xf numFmtId="0" fontId="11" fillId="3" borderId="2" xfId="0" applyFont="1" applyFill="1" applyBorder="1" applyAlignment="1"/>
    <xf numFmtId="0" fontId="11" fillId="3" borderId="3" xfId="0" applyFont="1" applyFill="1" applyBorder="1" applyAlignment="1"/>
    <xf numFmtId="0" fontId="11" fillId="3" borderId="4" xfId="0" applyFont="1" applyFill="1" applyBorder="1" applyAlignment="1"/>
    <xf numFmtId="0" fontId="11" fillId="3" borderId="0" xfId="0" applyFont="1" applyFill="1" applyAlignment="1"/>
    <xf numFmtId="0" fontId="11" fillId="3" borderId="5" xfId="0" applyFont="1" applyFill="1" applyBorder="1" applyAlignment="1"/>
    <xf numFmtId="0" fontId="11" fillId="4" borderId="0" xfId="0" applyFont="1" applyFill="1" applyAlignment="1"/>
    <xf numFmtId="0" fontId="11" fillId="4" borderId="6" xfId="0" applyFont="1" applyFill="1" applyBorder="1" applyAlignment="1"/>
    <xf numFmtId="0" fontId="12" fillId="4" borderId="0" xfId="0" applyFont="1" applyFill="1" applyAlignment="1">
      <alignment horizontal="right"/>
    </xf>
    <xf numFmtId="0" fontId="12" fillId="4" borderId="5" xfId="0" applyFont="1" applyFill="1" applyBorder="1" applyAlignment="1">
      <alignment horizontal="right"/>
    </xf>
    <xf numFmtId="0" fontId="6" fillId="3" borderId="5" xfId="0" applyFont="1" applyFill="1" applyBorder="1"/>
    <xf numFmtId="165" fontId="6" fillId="3" borderId="5" xfId="0" applyNumberFormat="1" applyFont="1" applyFill="1" applyBorder="1" applyAlignment="1"/>
    <xf numFmtId="164" fontId="7" fillId="3" borderId="4" xfId="0" applyNumberFormat="1" applyFont="1" applyFill="1" applyBorder="1" applyAlignment="1"/>
    <xf numFmtId="165" fontId="2" fillId="3" borderId="9" xfId="0" applyNumberFormat="1" applyFont="1" applyFill="1" applyBorder="1"/>
    <xf numFmtId="165" fontId="2" fillId="3" borderId="11" xfId="0" applyNumberFormat="1" applyFont="1" applyFill="1" applyBorder="1"/>
    <xf numFmtId="165" fontId="2" fillId="3" borderId="12" xfId="0" applyNumberFormat="1" applyFont="1" applyFill="1" applyBorder="1"/>
    <xf numFmtId="166" fontId="2" fillId="3" borderId="5" xfId="0" applyNumberFormat="1" applyFont="1" applyFill="1" applyBorder="1"/>
    <xf numFmtId="0" fontId="2" fillId="3" borderId="9" xfId="0" applyFont="1" applyFill="1" applyBorder="1" applyAlignment="1">
      <alignment horizontal="center"/>
    </xf>
    <xf numFmtId="166" fontId="2" fillId="3" borderId="9" xfId="0" applyNumberFormat="1" applyFont="1" applyFill="1" applyBorder="1"/>
    <xf numFmtId="166" fontId="2" fillId="3" borderId="3" xfId="0" applyNumberFormat="1" applyFont="1" applyFill="1" applyBorder="1"/>
    <xf numFmtId="166" fontId="7" fillId="3" borderId="2" xfId="0" applyNumberFormat="1" applyFont="1" applyFill="1" applyBorder="1"/>
    <xf numFmtId="166" fontId="2" fillId="3" borderId="10" xfId="0" applyNumberFormat="1" applyFont="1" applyFill="1" applyBorder="1"/>
    <xf numFmtId="166" fontId="7" fillId="3" borderId="9" xfId="0" applyNumberFormat="1" applyFont="1" applyFill="1" applyBorder="1"/>
    <xf numFmtId="0" fontId="7" fillId="3" borderId="2" xfId="0" applyFont="1" applyFill="1" applyBorder="1"/>
    <xf numFmtId="10" fontId="2" fillId="3" borderId="9" xfId="0" applyNumberFormat="1" applyFont="1" applyFill="1" applyBorder="1"/>
    <xf numFmtId="10" fontId="2" fillId="3" borderId="10" xfId="0" applyNumberFormat="1" applyFont="1" applyFill="1" applyBorder="1"/>
    <xf numFmtId="10" fontId="7" fillId="3" borderId="9" xfId="0" applyNumberFormat="1" applyFont="1" applyFill="1" applyBorder="1"/>
    <xf numFmtId="0" fontId="11" fillId="4" borderId="13" xfId="0" applyFont="1" applyFill="1" applyBorder="1" applyAlignment="1"/>
    <xf numFmtId="0" fontId="12" fillId="4" borderId="13" xfId="0" applyFont="1" applyFill="1" applyBorder="1" applyAlignment="1">
      <alignment horizontal="right"/>
    </xf>
    <xf numFmtId="0" fontId="3" fillId="3" borderId="8" xfId="0" applyFont="1" applyFill="1" applyBorder="1" applyAlignment="1"/>
    <xf numFmtId="0" fontId="2" fillId="3" borderId="10" xfId="0" applyFont="1" applyFill="1" applyBorder="1"/>
    <xf numFmtId="0" fontId="3" fillId="3" borderId="9" xfId="0" applyFont="1" applyFill="1" applyBorder="1" applyAlignment="1"/>
    <xf numFmtId="164" fontId="3" fillId="3" borderId="8" xfId="0" applyNumberFormat="1" applyFont="1" applyFill="1" applyBorder="1"/>
    <xf numFmtId="164" fontId="3" fillId="3" borderId="9" xfId="0" applyNumberFormat="1" applyFont="1" applyFill="1" applyBorder="1"/>
    <xf numFmtId="9" fontId="2" fillId="3" borderId="4" xfId="0" applyNumberFormat="1" applyFont="1" applyFill="1" applyBorder="1"/>
    <xf numFmtId="9" fontId="2" fillId="3" borderId="0" xfId="0" applyNumberFormat="1" applyFont="1" applyFill="1"/>
    <xf numFmtId="165" fontId="2" fillId="3" borderId="8" xfId="0" applyNumberFormat="1" applyFont="1" applyFill="1" applyBorder="1"/>
    <xf numFmtId="165" fontId="3" fillId="3" borderId="2" xfId="0" applyNumberFormat="1" applyFont="1" applyFill="1" applyBorder="1"/>
    <xf numFmtId="9" fontId="2" fillId="3" borderId="0" xfId="0" applyNumberFormat="1" applyFont="1" applyFill="1" applyAlignment="1"/>
    <xf numFmtId="10" fontId="3" fillId="3" borderId="2" xfId="0" applyNumberFormat="1" applyFont="1" applyFill="1" applyBorder="1" applyAlignment="1"/>
    <xf numFmtId="10" fontId="2" fillId="3" borderId="0" xfId="0" applyNumberFormat="1" applyFont="1" applyFill="1" applyAlignment="1"/>
    <xf numFmtId="10" fontId="3" fillId="3" borderId="2" xfId="0" applyNumberFormat="1" applyFont="1" applyFill="1" applyBorder="1"/>
    <xf numFmtId="165" fontId="2" fillId="3" borderId="0" xfId="0" applyNumberFormat="1" applyFont="1" applyFill="1" applyAlignment="1"/>
    <xf numFmtId="9" fontId="3" fillId="3" borderId="0" xfId="0" applyNumberFormat="1" applyFont="1" applyFill="1"/>
    <xf numFmtId="0" fontId="15" fillId="0" borderId="0" xfId="0" applyFont="1" applyAlignment="1"/>
    <xf numFmtId="0" fontId="13" fillId="0" borderId="0" xfId="0" applyFont="1" applyAlignment="1"/>
    <xf numFmtId="43" fontId="0" fillId="0" borderId="0" xfId="1" applyFont="1" applyAlignment="1"/>
    <xf numFmtId="165" fontId="0" fillId="0" borderId="0" xfId="0" applyNumberFormat="1" applyFont="1" applyAlignment="1"/>
    <xf numFmtId="0" fontId="17" fillId="0" borderId="0" xfId="0" applyFont="1" applyAlignment="1"/>
    <xf numFmtId="9" fontId="2" fillId="3" borderId="0" xfId="2" applyFont="1" applyFill="1"/>
    <xf numFmtId="44" fontId="2" fillId="3" borderId="0" xfId="4" applyFont="1" applyFill="1" applyAlignment="1"/>
    <xf numFmtId="0" fontId="19" fillId="3" borderId="0" xfId="0" applyFont="1" applyFill="1"/>
    <xf numFmtId="9" fontId="19" fillId="3" borderId="0" xfId="0" applyNumberFormat="1" applyFont="1" applyFill="1"/>
    <xf numFmtId="2" fontId="0" fillId="0" borderId="0" xfId="0" applyNumberFormat="1" applyFont="1" applyAlignment="1"/>
    <xf numFmtId="0" fontId="2" fillId="3" borderId="21" xfId="0" applyFont="1" applyFill="1" applyBorder="1"/>
    <xf numFmtId="165" fontId="6" fillId="3" borderId="21" xfId="0" applyNumberFormat="1" applyFont="1" applyFill="1" applyBorder="1"/>
    <xf numFmtId="165" fontId="6" fillId="3" borderId="29" xfId="0" applyNumberFormat="1" applyFont="1" applyFill="1" applyBorder="1"/>
    <xf numFmtId="165" fontId="7" fillId="3" borderId="21" xfId="0" applyNumberFormat="1" applyFont="1" applyFill="1" applyBorder="1"/>
    <xf numFmtId="2" fontId="0" fillId="6" borderId="0" xfId="0" applyNumberFormat="1" applyFont="1" applyFill="1" applyBorder="1" applyAlignment="1"/>
    <xf numFmtId="9" fontId="3" fillId="7" borderId="21" xfId="0" applyNumberFormat="1" applyFont="1" applyFill="1" applyBorder="1"/>
    <xf numFmtId="0" fontId="2" fillId="0" borderId="0" xfId="0" applyFont="1" applyFill="1"/>
    <xf numFmtId="10" fontId="2" fillId="0" borderId="0" xfId="0" applyNumberFormat="1" applyFont="1" applyFill="1"/>
    <xf numFmtId="0" fontId="2" fillId="0" borderId="0" xfId="0" applyFont="1" applyFill="1" applyAlignment="1"/>
    <xf numFmtId="0" fontId="2" fillId="0" borderId="14" xfId="0" applyFont="1" applyFill="1" applyBorder="1"/>
    <xf numFmtId="8" fontId="2" fillId="0" borderId="0" xfId="0" applyNumberFormat="1" applyFont="1" applyFill="1"/>
    <xf numFmtId="0" fontId="3" fillId="0" borderId="0" xfId="0" applyFont="1" applyFill="1"/>
    <xf numFmtId="166" fontId="2" fillId="0" borderId="0" xfId="0" applyNumberFormat="1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10" fillId="3" borderId="30" xfId="0" applyFont="1" applyFill="1" applyBorder="1" applyAlignment="1"/>
    <xf numFmtId="0" fontId="11" fillId="3" borderId="31" xfId="0" applyFont="1" applyFill="1" applyBorder="1" applyAlignment="1"/>
    <xf numFmtId="0" fontId="11" fillId="3" borderId="32" xfId="0" applyFont="1" applyFill="1" applyBorder="1" applyAlignment="1"/>
    <xf numFmtId="0" fontId="11" fillId="3" borderId="33" xfId="0" applyFont="1" applyFill="1" applyBorder="1" applyAlignment="1"/>
    <xf numFmtId="0" fontId="11" fillId="3" borderId="0" xfId="0" applyFont="1" applyFill="1" applyBorder="1" applyAlignment="1"/>
    <xf numFmtId="0" fontId="11" fillId="3" borderId="34" xfId="0" applyFont="1" applyFill="1" applyBorder="1" applyAlignment="1"/>
    <xf numFmtId="0" fontId="11" fillId="4" borderId="33" xfId="0" applyFont="1" applyFill="1" applyBorder="1" applyAlignment="1"/>
    <xf numFmtId="0" fontId="1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12" fillId="4" borderId="34" xfId="0" applyFont="1" applyFill="1" applyBorder="1" applyAlignment="1">
      <alignment horizontal="right"/>
    </xf>
    <xf numFmtId="0" fontId="3" fillId="3" borderId="33" xfId="0" applyFont="1" applyFill="1" applyBorder="1" applyAlignment="1"/>
    <xf numFmtId="0" fontId="2" fillId="3" borderId="0" xfId="0" applyFont="1" applyFill="1" applyBorder="1"/>
    <xf numFmtId="0" fontId="6" fillId="3" borderId="0" xfId="0" applyFont="1" applyFill="1" applyBorder="1"/>
    <xf numFmtId="0" fontId="2" fillId="3" borderId="34" xfId="0" applyFont="1" applyFill="1" applyBorder="1"/>
    <xf numFmtId="0" fontId="2" fillId="3" borderId="33" xfId="0" applyFont="1" applyFill="1" applyBorder="1" applyAlignment="1"/>
    <xf numFmtId="165" fontId="6" fillId="3" borderId="0" xfId="0" applyNumberFormat="1" applyFont="1" applyFill="1" applyBorder="1" applyAlignment="1"/>
    <xf numFmtId="165" fontId="7" fillId="3" borderId="0" xfId="0" applyNumberFormat="1" applyFont="1" applyFill="1" applyBorder="1"/>
    <xf numFmtId="165" fontId="7" fillId="3" borderId="34" xfId="0" applyNumberFormat="1" applyFont="1" applyFill="1" applyBorder="1"/>
    <xf numFmtId="0" fontId="2" fillId="3" borderId="36" xfId="0" applyFont="1" applyFill="1" applyBorder="1" applyAlignment="1"/>
    <xf numFmtId="0" fontId="3" fillId="3" borderId="0" xfId="0" applyFont="1" applyFill="1" applyBorder="1"/>
    <xf numFmtId="0" fontId="2" fillId="3" borderId="33" xfId="0" applyFont="1" applyFill="1" applyBorder="1"/>
    <xf numFmtId="9" fontId="2" fillId="3" borderId="0" xfId="2" applyFont="1" applyFill="1" applyBorder="1"/>
    <xf numFmtId="165" fontId="9" fillId="3" borderId="0" xfId="0" applyNumberFormat="1" applyFont="1" applyFill="1" applyBorder="1" applyAlignment="1"/>
    <xf numFmtId="168" fontId="3" fillId="3" borderId="0" xfId="0" applyNumberFormat="1" applyFont="1" applyFill="1" applyBorder="1"/>
    <xf numFmtId="0" fontId="3" fillId="3" borderId="30" xfId="0" applyFont="1" applyFill="1" applyBorder="1" applyAlignment="1"/>
    <xf numFmtId="0" fontId="2" fillId="3" borderId="31" xfId="0" applyFont="1" applyFill="1" applyBorder="1"/>
    <xf numFmtId="0" fontId="2" fillId="3" borderId="32" xfId="0" applyFont="1" applyFill="1" applyBorder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4" borderId="33" xfId="0" applyFont="1" applyFill="1" applyBorder="1" applyAlignment="1"/>
    <xf numFmtId="0" fontId="2" fillId="4" borderId="0" xfId="0" applyFont="1" applyFill="1" applyBorder="1"/>
    <xf numFmtId="0" fontId="2" fillId="4" borderId="33" xfId="0" applyFont="1" applyFill="1" applyBorder="1"/>
    <xf numFmtId="0" fontId="4" fillId="4" borderId="0" xfId="0" applyFont="1" applyFill="1" applyBorder="1" applyAlignment="1"/>
    <xf numFmtId="0" fontId="4" fillId="4" borderId="34" xfId="0" applyFont="1" applyFill="1" applyBorder="1" applyAlignment="1"/>
    <xf numFmtId="164" fontId="6" fillId="3" borderId="0" xfId="0" applyNumberFormat="1" applyFont="1" applyFill="1" applyBorder="1" applyAlignment="1"/>
    <xf numFmtId="164" fontId="7" fillId="3" borderId="0" xfId="0" applyNumberFormat="1" applyFont="1" applyFill="1" applyBorder="1"/>
    <xf numFmtId="164" fontId="7" fillId="3" borderId="34" xfId="0" applyNumberFormat="1" applyFont="1" applyFill="1" applyBorder="1"/>
    <xf numFmtId="164" fontId="3" fillId="3" borderId="0" xfId="0" applyNumberFormat="1" applyFont="1" applyFill="1" applyBorder="1"/>
    <xf numFmtId="164" fontId="3" fillId="3" borderId="37" xfId="0" applyNumberFormat="1" applyFont="1" applyFill="1" applyBorder="1"/>
    <xf numFmtId="164" fontId="2" fillId="3" borderId="0" xfId="0" applyNumberFormat="1" applyFont="1" applyFill="1" applyBorder="1"/>
    <xf numFmtId="164" fontId="2" fillId="3" borderId="34" xfId="0" applyNumberFormat="1" applyFont="1" applyFill="1" applyBorder="1"/>
    <xf numFmtId="165" fontId="8" fillId="3" borderId="0" xfId="0" applyNumberFormat="1" applyFont="1" applyFill="1" applyBorder="1" applyAlignment="1"/>
    <xf numFmtId="165" fontId="8" fillId="3" borderId="0" xfId="0" applyNumberFormat="1" applyFont="1" applyFill="1" applyBorder="1"/>
    <xf numFmtId="165" fontId="2" fillId="3" borderId="47" xfId="0" applyNumberFormat="1" applyFont="1" applyFill="1" applyBorder="1"/>
    <xf numFmtId="164" fontId="2" fillId="3" borderId="48" xfId="0" applyNumberFormat="1" applyFont="1" applyFill="1" applyBorder="1"/>
    <xf numFmtId="164" fontId="3" fillId="3" borderId="34" xfId="0" applyNumberFormat="1" applyFont="1" applyFill="1" applyBorder="1"/>
    <xf numFmtId="165" fontId="7" fillId="3" borderId="49" xfId="0" applyNumberFormat="1" applyFont="1" applyFill="1" applyBorder="1"/>
    <xf numFmtId="166" fontId="2" fillId="3" borderId="0" xfId="0" applyNumberFormat="1" applyFont="1" applyFill="1" applyBorder="1"/>
    <xf numFmtId="166" fontId="8" fillId="3" borderId="0" xfId="0" applyNumberFormat="1" applyFont="1" applyFill="1" applyBorder="1" applyAlignment="1"/>
    <xf numFmtId="166" fontId="7" fillId="3" borderId="0" xfId="0" applyNumberFormat="1" applyFont="1" applyFill="1" applyBorder="1" applyAlignment="1"/>
    <xf numFmtId="166" fontId="7" fillId="3" borderId="34" xfId="0" applyNumberFormat="1" applyFont="1" applyFill="1" applyBorder="1" applyAlignment="1"/>
    <xf numFmtId="0" fontId="7" fillId="3" borderId="0" xfId="0" applyFont="1" applyFill="1" applyBorder="1"/>
    <xf numFmtId="0" fontId="7" fillId="3" borderId="34" xfId="0" applyFont="1" applyFill="1" applyBorder="1"/>
    <xf numFmtId="0" fontId="7" fillId="3" borderId="0" xfId="0" applyFont="1" applyFill="1" applyBorder="1" applyAlignment="1"/>
    <xf numFmtId="165" fontId="8" fillId="3" borderId="34" xfId="0" applyNumberFormat="1" applyFont="1" applyFill="1" applyBorder="1" applyAlignment="1"/>
    <xf numFmtId="166" fontId="8" fillId="3" borderId="0" xfId="0" applyNumberFormat="1" applyFont="1" applyFill="1" applyBorder="1"/>
    <xf numFmtId="166" fontId="7" fillId="3" borderId="0" xfId="0" applyNumberFormat="1" applyFont="1" applyFill="1" applyBorder="1"/>
    <xf numFmtId="166" fontId="7" fillId="3" borderId="34" xfId="0" applyNumberFormat="1" applyFont="1" applyFill="1" applyBorder="1"/>
    <xf numFmtId="10" fontId="2" fillId="3" borderId="0" xfId="0" applyNumberFormat="1" applyFont="1" applyFill="1" applyBorder="1"/>
    <xf numFmtId="10" fontId="2" fillId="3" borderId="34" xfId="0" applyNumberFormat="1" applyFont="1" applyFill="1" applyBorder="1"/>
    <xf numFmtId="165" fontId="7" fillId="3" borderId="48" xfId="0" applyNumberFormat="1" applyFont="1" applyFill="1" applyBorder="1"/>
    <xf numFmtId="165" fontId="3" fillId="3" borderId="0" xfId="0" applyNumberFormat="1" applyFont="1" applyFill="1" applyBorder="1"/>
    <xf numFmtId="165" fontId="3" fillId="3" borderId="34" xfId="0" applyNumberFormat="1" applyFont="1" applyFill="1" applyBorder="1"/>
    <xf numFmtId="165" fontId="2" fillId="3" borderId="0" xfId="0" applyNumberFormat="1" applyFont="1" applyFill="1" applyBorder="1"/>
    <xf numFmtId="0" fontId="2" fillId="3" borderId="50" xfId="0" applyFont="1" applyFill="1" applyBorder="1" applyAlignment="1"/>
    <xf numFmtId="0" fontId="2" fillId="3" borderId="51" xfId="0" applyFont="1" applyFill="1" applyBorder="1"/>
    <xf numFmtId="10" fontId="2" fillId="3" borderId="51" xfId="0" applyNumberFormat="1" applyFont="1" applyFill="1" applyBorder="1"/>
    <xf numFmtId="10" fontId="2" fillId="3" borderId="52" xfId="0" applyNumberFormat="1" applyFont="1" applyFill="1" applyBorder="1"/>
    <xf numFmtId="10" fontId="2" fillId="3" borderId="53" xfId="0" applyNumberFormat="1" applyFont="1" applyFill="1" applyBorder="1"/>
    <xf numFmtId="0" fontId="3" fillId="3" borderId="39" xfId="0" applyFont="1" applyFill="1" applyBorder="1" applyAlignment="1"/>
    <xf numFmtId="0" fontId="2" fillId="3" borderId="40" xfId="0" applyFont="1" applyFill="1" applyBorder="1"/>
    <xf numFmtId="0" fontId="2" fillId="3" borderId="41" xfId="0" applyFont="1" applyFill="1" applyBorder="1"/>
    <xf numFmtId="0" fontId="2" fillId="3" borderId="54" xfId="0" applyFont="1" applyFill="1" applyBorder="1"/>
    <xf numFmtId="164" fontId="7" fillId="3" borderId="0" xfId="0" applyNumberFormat="1" applyFont="1" applyFill="1" applyBorder="1" applyAlignment="1"/>
    <xf numFmtId="164" fontId="7" fillId="3" borderId="34" xfId="0" applyNumberFormat="1" applyFont="1" applyFill="1" applyBorder="1" applyAlignment="1"/>
    <xf numFmtId="0" fontId="3" fillId="3" borderId="33" xfId="0" applyFont="1" applyFill="1" applyBorder="1" applyAlignment="1">
      <alignment wrapText="1"/>
    </xf>
    <xf numFmtId="0" fontId="3" fillId="3" borderId="55" xfId="0" applyFont="1" applyFill="1" applyBorder="1" applyAlignment="1"/>
    <xf numFmtId="165" fontId="7" fillId="3" borderId="56" xfId="0" applyNumberFormat="1" applyFont="1" applyFill="1" applyBorder="1"/>
    <xf numFmtId="165" fontId="2" fillId="3" borderId="57" xfId="0" applyNumberFormat="1" applyFont="1" applyFill="1" applyBorder="1"/>
    <xf numFmtId="164" fontId="2" fillId="3" borderId="0" xfId="0" applyNumberFormat="1" applyFont="1" applyFill="1" applyBorder="1" applyAlignment="1"/>
    <xf numFmtId="165" fontId="2" fillId="3" borderId="4" xfId="0" applyNumberFormat="1" applyFont="1" applyFill="1" applyBorder="1" applyAlignment="1"/>
    <xf numFmtId="9" fontId="2" fillId="0" borderId="0" xfId="2" applyFont="1" applyFill="1"/>
    <xf numFmtId="0" fontId="7" fillId="0" borderId="0" xfId="0" applyFont="1" applyFill="1"/>
    <xf numFmtId="166" fontId="7" fillId="3" borderId="37" xfId="0" applyNumberFormat="1" applyFont="1" applyFill="1" applyBorder="1"/>
    <xf numFmtId="166" fontId="7" fillId="3" borderId="48" xfId="0" applyNumberFormat="1" applyFont="1" applyFill="1" applyBorder="1"/>
    <xf numFmtId="0" fontId="7" fillId="3" borderId="37" xfId="0" applyFont="1" applyFill="1" applyBorder="1"/>
    <xf numFmtId="10" fontId="7" fillId="3" borderId="0" xfId="0" applyNumberFormat="1" applyFont="1" applyFill="1" applyBorder="1"/>
    <xf numFmtId="10" fontId="7" fillId="3" borderId="34" xfId="0" applyNumberFormat="1" applyFont="1" applyFill="1" applyBorder="1"/>
    <xf numFmtId="10" fontId="7" fillId="3" borderId="48" xfId="0" applyNumberFormat="1" applyFont="1" applyFill="1" applyBorder="1"/>
    <xf numFmtId="0" fontId="2" fillId="3" borderId="51" xfId="0" applyFont="1" applyFill="1" applyBorder="1" applyAlignment="1">
      <alignment horizontal="center"/>
    </xf>
    <xf numFmtId="10" fontId="2" fillId="3" borderId="58" xfId="0" applyNumberFormat="1" applyFont="1" applyFill="1" applyBorder="1"/>
    <xf numFmtId="10" fontId="7" fillId="3" borderId="51" xfId="0" applyNumberFormat="1" applyFont="1" applyFill="1" applyBorder="1"/>
    <xf numFmtId="10" fontId="7" fillId="3" borderId="53" xfId="0" applyNumberFormat="1" applyFont="1" applyFill="1" applyBorder="1"/>
    <xf numFmtId="0" fontId="0" fillId="10" borderId="0" xfId="0" applyFont="1" applyFill="1" applyAlignment="1"/>
    <xf numFmtId="0" fontId="20" fillId="11" borderId="0" xfId="0" applyFont="1" applyFill="1" applyAlignment="1"/>
    <xf numFmtId="0" fontId="0" fillId="12" borderId="0" xfId="0" applyFont="1" applyFill="1" applyAlignment="1"/>
    <xf numFmtId="0" fontId="13" fillId="12" borderId="0" xfId="0" applyFont="1" applyFill="1" applyAlignment="1"/>
    <xf numFmtId="0" fontId="13" fillId="10" borderId="0" xfId="0" applyFont="1" applyFill="1" applyAlignment="1"/>
    <xf numFmtId="9" fontId="0" fillId="0" borderId="0" xfId="2" applyFont="1" applyAlignment="1"/>
    <xf numFmtId="0" fontId="13" fillId="0" borderId="0" xfId="0" applyFont="1" applyAlignment="1">
      <alignment horizontal="left" indent="7"/>
    </xf>
    <xf numFmtId="9" fontId="20" fillId="0" borderId="0" xfId="2" applyFont="1" applyAlignment="1"/>
    <xf numFmtId="0" fontId="2" fillId="3" borderId="16" xfId="0" applyFont="1" applyFill="1" applyBorder="1"/>
    <xf numFmtId="0" fontId="2" fillId="3" borderId="15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169" fontId="2" fillId="3" borderId="18" xfId="0" applyNumberFormat="1" applyFont="1" applyFill="1" applyBorder="1"/>
    <xf numFmtId="169" fontId="2" fillId="3" borderId="0" xfId="2" applyNumberFormat="1" applyFont="1" applyFill="1" applyBorder="1"/>
    <xf numFmtId="10" fontId="2" fillId="3" borderId="18" xfId="2" applyNumberFormat="1" applyFont="1" applyFill="1" applyBorder="1"/>
    <xf numFmtId="0" fontId="19" fillId="3" borderId="0" xfId="0" applyFont="1" applyFill="1" applyBorder="1"/>
    <xf numFmtId="0" fontId="2" fillId="3" borderId="20" xfId="0" applyFont="1" applyFill="1" applyBorder="1"/>
    <xf numFmtId="9" fontId="2" fillId="3" borderId="21" xfId="0" applyNumberFormat="1" applyFont="1" applyFill="1" applyBorder="1"/>
    <xf numFmtId="0" fontId="2" fillId="3" borderId="22" xfId="0" applyFont="1" applyFill="1" applyBorder="1"/>
    <xf numFmtId="9" fontId="2" fillId="0" borderId="0" xfId="0" applyNumberFormat="1" applyFont="1" applyFill="1"/>
    <xf numFmtId="0" fontId="0" fillId="6" borderId="16" xfId="0" applyFont="1" applyFill="1" applyBorder="1" applyAlignment="1"/>
    <xf numFmtId="0" fontId="0" fillId="6" borderId="15" xfId="0" applyFont="1" applyFill="1" applyBorder="1" applyAlignment="1"/>
    <xf numFmtId="0" fontId="0" fillId="6" borderId="17" xfId="0" applyFont="1" applyFill="1" applyBorder="1" applyAlignment="1"/>
    <xf numFmtId="0" fontId="0" fillId="6" borderId="18" xfId="0" applyFont="1" applyFill="1" applyBorder="1" applyAlignment="1"/>
    <xf numFmtId="0" fontId="0" fillId="6" borderId="0" xfId="0" applyFont="1" applyFill="1" applyBorder="1" applyAlignment="1"/>
    <xf numFmtId="0" fontId="0" fillId="6" borderId="19" xfId="0" applyFont="1" applyFill="1" applyBorder="1" applyAlignment="1"/>
    <xf numFmtId="0" fontId="18" fillId="6" borderId="0" xfId="0" applyFont="1" applyFill="1" applyBorder="1" applyAlignment="1"/>
    <xf numFmtId="0" fontId="15" fillId="6" borderId="0" xfId="0" applyFont="1" applyFill="1" applyBorder="1" applyAlignment="1"/>
    <xf numFmtId="165" fontId="0" fillId="6" borderId="0" xfId="0" applyNumberFormat="1" applyFont="1" applyFill="1" applyBorder="1" applyAlignment="1"/>
    <xf numFmtId="0" fontId="13" fillId="6" borderId="0" xfId="0" applyFont="1" applyFill="1" applyBorder="1" applyAlignment="1"/>
    <xf numFmtId="0" fontId="13" fillId="6" borderId="18" xfId="0" applyFont="1" applyFill="1" applyBorder="1" applyAlignment="1"/>
    <xf numFmtId="43" fontId="0" fillId="6" borderId="0" xfId="1" applyFont="1" applyFill="1" applyBorder="1" applyAlignment="1"/>
    <xf numFmtId="166" fontId="13" fillId="6" borderId="0" xfId="0" applyNumberFormat="1" applyFont="1" applyFill="1" applyBorder="1" applyAlignment="1"/>
    <xf numFmtId="43" fontId="15" fillId="6" borderId="0" xfId="1" applyFont="1" applyFill="1" applyBorder="1" applyAlignment="1"/>
    <xf numFmtId="0" fontId="0" fillId="6" borderId="20" xfId="0" applyFont="1" applyFill="1" applyBorder="1" applyAlignment="1"/>
    <xf numFmtId="0" fontId="0" fillId="6" borderId="21" xfId="0" applyFont="1" applyFill="1" applyBorder="1" applyAlignment="1"/>
    <xf numFmtId="0" fontId="0" fillId="6" borderId="22" xfId="0" applyFont="1" applyFill="1" applyBorder="1" applyAlignment="1"/>
    <xf numFmtId="9" fontId="2" fillId="3" borderId="0" xfId="2" applyNumberFormat="1" applyFont="1" applyFill="1" applyAlignment="1">
      <alignment horizontal="left"/>
    </xf>
    <xf numFmtId="9" fontId="2" fillId="3" borderId="0" xfId="2" applyFont="1" applyFill="1" applyAlignment="1">
      <alignment horizontal="left"/>
    </xf>
    <xf numFmtId="166" fontId="18" fillId="6" borderId="0" xfId="0" applyNumberFormat="1" applyFont="1" applyFill="1" applyBorder="1" applyAlignment="1"/>
    <xf numFmtId="9" fontId="15" fillId="6" borderId="0" xfId="0" applyNumberFormat="1" applyFont="1" applyFill="1" applyBorder="1" applyAlignment="1"/>
    <xf numFmtId="169" fontId="15" fillId="6" borderId="0" xfId="0" applyNumberFormat="1" applyFont="1" applyFill="1" applyBorder="1" applyAlignment="1"/>
    <xf numFmtId="2" fontId="0" fillId="6" borderId="16" xfId="0" applyNumberFormat="1" applyFont="1" applyFill="1" applyBorder="1" applyAlignment="1"/>
    <xf numFmtId="2" fontId="0" fillId="6" borderId="15" xfId="0" applyNumberFormat="1" applyFont="1" applyFill="1" applyBorder="1" applyAlignment="1"/>
    <xf numFmtId="2" fontId="0" fillId="6" borderId="17" xfId="0" applyNumberFormat="1" applyFont="1" applyFill="1" applyBorder="1" applyAlignment="1"/>
    <xf numFmtId="2" fontId="0" fillId="6" borderId="18" xfId="0" applyNumberFormat="1" applyFont="1" applyFill="1" applyBorder="1" applyAlignment="1"/>
    <xf numFmtId="2" fontId="0" fillId="6" borderId="19" xfId="0" applyNumberFormat="1" applyFont="1" applyFill="1" applyBorder="1" applyAlignment="1"/>
    <xf numFmtId="0" fontId="15" fillId="6" borderId="18" xfId="0" applyFont="1" applyFill="1" applyBorder="1" applyAlignment="1"/>
    <xf numFmtId="9" fontId="15" fillId="6" borderId="0" xfId="2" applyFont="1" applyFill="1" applyBorder="1" applyAlignment="1"/>
    <xf numFmtId="2" fontId="0" fillId="6" borderId="20" xfId="0" applyNumberFormat="1" applyFont="1" applyFill="1" applyBorder="1" applyAlignment="1"/>
    <xf numFmtId="2" fontId="0" fillId="6" borderId="21" xfId="0" applyNumberFormat="1" applyFont="1" applyFill="1" applyBorder="1" applyAlignment="1"/>
    <xf numFmtId="2" fontId="0" fillId="6" borderId="22" xfId="0" applyNumberFormat="1" applyFont="1" applyFill="1" applyBorder="1" applyAlignment="1"/>
    <xf numFmtId="10" fontId="0" fillId="6" borderId="0" xfId="0" applyNumberFormat="1" applyFont="1" applyFill="1" applyBorder="1" applyAlignment="1"/>
    <xf numFmtId="0" fontId="3" fillId="3" borderId="50" xfId="0" applyFont="1" applyFill="1" applyBorder="1" applyAlignment="1"/>
    <xf numFmtId="0" fontId="3" fillId="3" borderId="51" xfId="0" applyFont="1" applyFill="1" applyBorder="1"/>
    <xf numFmtId="164" fontId="3" fillId="3" borderId="51" xfId="0" applyNumberFormat="1" applyFont="1" applyFill="1" applyBorder="1"/>
    <xf numFmtId="164" fontId="3" fillId="3" borderId="52" xfId="0" applyNumberFormat="1" applyFont="1" applyFill="1" applyBorder="1"/>
    <xf numFmtId="164" fontId="3" fillId="3" borderId="53" xfId="0" applyNumberFormat="1" applyFont="1" applyFill="1" applyBorder="1"/>
    <xf numFmtId="0" fontId="3" fillId="3" borderId="31" xfId="0" applyFont="1" applyFill="1" applyBorder="1"/>
    <xf numFmtId="3" fontId="3" fillId="3" borderId="31" xfId="0" applyNumberFormat="1" applyFont="1" applyFill="1" applyBorder="1"/>
    <xf numFmtId="8" fontId="0" fillId="0" borderId="0" xfId="0" applyNumberFormat="1" applyFont="1" applyAlignment="1"/>
    <xf numFmtId="170" fontId="0" fillId="0" borderId="0" xfId="0" applyNumberFormat="1" applyFont="1" applyAlignment="1"/>
    <xf numFmtId="171" fontId="0" fillId="0" borderId="0" xfId="0" applyNumberFormat="1" applyFont="1" applyAlignment="1"/>
    <xf numFmtId="0" fontId="15" fillId="0" borderId="0" xfId="0" applyFont="1" applyAlignment="1">
      <alignment horizontal="right"/>
    </xf>
    <xf numFmtId="171" fontId="15" fillId="0" borderId="0" xfId="0" applyNumberFormat="1" applyFont="1" applyAlignment="1"/>
    <xf numFmtId="0" fontId="20" fillId="5" borderId="0" xfId="0" applyFont="1" applyFill="1" applyAlignment="1"/>
    <xf numFmtId="0" fontId="23" fillId="13" borderId="0" xfId="0" applyFont="1" applyFill="1" applyBorder="1"/>
    <xf numFmtId="2" fontId="24" fillId="13" borderId="0" xfId="0" applyNumberFormat="1" applyFont="1" applyFill="1" applyBorder="1"/>
    <xf numFmtId="0" fontId="3" fillId="3" borderId="9" xfId="0" applyFont="1" applyFill="1" applyBorder="1"/>
    <xf numFmtId="0" fontId="22" fillId="13" borderId="0" xfId="0" applyFont="1" applyFill="1" applyBorder="1"/>
    <xf numFmtId="44" fontId="0" fillId="0" borderId="0" xfId="0" applyNumberFormat="1" applyFont="1" applyAlignment="1"/>
    <xf numFmtId="172" fontId="0" fillId="0" borderId="0" xfId="0" applyNumberFormat="1" applyFont="1" applyAlignment="1"/>
    <xf numFmtId="0" fontId="3" fillId="3" borderId="61" xfId="0" applyFont="1" applyFill="1" applyBorder="1" applyAlignment="1"/>
    <xf numFmtId="165" fontId="7" fillId="3" borderId="62" xfId="0" applyNumberFormat="1" applyFont="1" applyFill="1" applyBorder="1"/>
    <xf numFmtId="165" fontId="7" fillId="3" borderId="61" xfId="0" applyNumberFormat="1" applyFont="1" applyFill="1" applyBorder="1"/>
    <xf numFmtId="164" fontId="3" fillId="3" borderId="62" xfId="0" applyNumberFormat="1" applyFont="1" applyFill="1" applyBorder="1"/>
    <xf numFmtId="164" fontId="3" fillId="3" borderId="61" xfId="0" applyNumberFormat="1" applyFont="1" applyFill="1" applyBorder="1"/>
    <xf numFmtId="9" fontId="2" fillId="3" borderId="62" xfId="0" applyNumberFormat="1" applyFont="1" applyFill="1" applyBorder="1"/>
    <xf numFmtId="165" fontId="2" fillId="3" borderId="25" xfId="0" applyNumberFormat="1" applyFont="1" applyFill="1" applyBorder="1"/>
    <xf numFmtId="0" fontId="3" fillId="3" borderId="60" xfId="0" applyFont="1" applyFill="1" applyBorder="1"/>
    <xf numFmtId="2" fontId="3" fillId="3" borderId="17" xfId="0" applyNumberFormat="1" applyFont="1" applyFill="1" applyBorder="1"/>
    <xf numFmtId="2" fontId="3" fillId="3" borderId="19" xfId="0" applyNumberFormat="1" applyFont="1" applyFill="1" applyBorder="1"/>
    <xf numFmtId="2" fontId="3" fillId="3" borderId="22" xfId="0" applyNumberFormat="1" applyFont="1" applyFill="1" applyBorder="1"/>
    <xf numFmtId="0" fontId="21" fillId="3" borderId="60" xfId="0" applyFont="1" applyFill="1" applyBorder="1"/>
    <xf numFmtId="0" fontId="21" fillId="3" borderId="62" xfId="0" applyFont="1" applyFill="1" applyBorder="1"/>
    <xf numFmtId="0" fontId="21" fillId="3" borderId="25" xfId="0" applyFont="1" applyFill="1" applyBorder="1"/>
    <xf numFmtId="0" fontId="0" fillId="8" borderId="17" xfId="0" applyFont="1" applyFill="1" applyBorder="1" applyAlignment="1"/>
    <xf numFmtId="0" fontId="2" fillId="8" borderId="18" xfId="0" applyFont="1" applyFill="1" applyBorder="1"/>
    <xf numFmtId="0" fontId="0" fillId="8" borderId="19" xfId="0" applyFont="1" applyFill="1" applyBorder="1" applyAlignment="1"/>
    <xf numFmtId="44" fontId="2" fillId="8" borderId="18" xfId="0" applyNumberFormat="1" applyFont="1" applyFill="1" applyBorder="1"/>
    <xf numFmtId="165" fontId="2" fillId="8" borderId="18" xfId="0" applyNumberFormat="1" applyFont="1" applyFill="1" applyBorder="1"/>
    <xf numFmtId="0" fontId="2" fillId="8" borderId="20" xfId="0" applyFont="1" applyFill="1" applyBorder="1"/>
    <xf numFmtId="0" fontId="0" fillId="8" borderId="22" xfId="0" applyFont="1" applyFill="1" applyBorder="1" applyAlignment="1"/>
    <xf numFmtId="0" fontId="3" fillId="8" borderId="28" xfId="0" applyFont="1" applyFill="1" applyBorder="1"/>
    <xf numFmtId="0" fontId="0" fillId="8" borderId="63" xfId="0" applyFont="1" applyFill="1" applyBorder="1" applyAlignment="1"/>
    <xf numFmtId="44" fontId="3" fillId="8" borderId="18" xfId="0" applyNumberFormat="1" applyFont="1" applyFill="1" applyBorder="1"/>
    <xf numFmtId="0" fontId="0" fillId="8" borderId="16" xfId="0" applyFont="1" applyFill="1" applyBorder="1" applyAlignment="1"/>
    <xf numFmtId="2" fontId="0" fillId="8" borderId="15" xfId="0" applyNumberFormat="1" applyFont="1" applyFill="1" applyBorder="1" applyAlignment="1"/>
    <xf numFmtId="0" fontId="0" fillId="8" borderId="15" xfId="0" applyFont="1" applyFill="1" applyBorder="1" applyAlignment="1"/>
    <xf numFmtId="0" fontId="0" fillId="8" borderId="18" xfId="0" applyFont="1" applyFill="1" applyBorder="1" applyAlignment="1"/>
    <xf numFmtId="0" fontId="0" fillId="8" borderId="0" xfId="0" applyFont="1" applyFill="1" applyBorder="1" applyAlignment="1"/>
    <xf numFmtId="0" fontId="15" fillId="8" borderId="0" xfId="0" applyFont="1" applyFill="1" applyBorder="1" applyAlignment="1"/>
    <xf numFmtId="2" fontId="18" fillId="8" borderId="0" xfId="0" applyNumberFormat="1" applyFont="1" applyFill="1" applyBorder="1" applyAlignment="1"/>
    <xf numFmtId="9" fontId="15" fillId="8" borderId="0" xfId="0" applyNumberFormat="1" applyFont="1" applyFill="1" applyBorder="1" applyAlignment="1"/>
    <xf numFmtId="171" fontId="15" fillId="8" borderId="0" xfId="0" applyNumberFormat="1" applyFont="1" applyFill="1" applyBorder="1" applyAlignment="1"/>
    <xf numFmtId="2" fontId="0" fillId="8" borderId="0" xfId="0" applyNumberFormat="1" applyFont="1" applyFill="1" applyBorder="1" applyAlignment="1"/>
    <xf numFmtId="0" fontId="15" fillId="8" borderId="18" xfId="0" applyFont="1" applyFill="1" applyBorder="1" applyAlignment="1"/>
    <xf numFmtId="0" fontId="0" fillId="8" borderId="20" xfId="0" applyFont="1" applyFill="1" applyBorder="1" applyAlignment="1"/>
    <xf numFmtId="0" fontId="0" fillId="8" borderId="21" xfId="0" applyFont="1" applyFill="1" applyBorder="1" applyAlignment="1"/>
    <xf numFmtId="2" fontId="0" fillId="8" borderId="16" xfId="0" applyNumberFormat="1" applyFont="1" applyFill="1" applyBorder="1" applyAlignment="1"/>
    <xf numFmtId="2" fontId="0" fillId="8" borderId="17" xfId="0" applyNumberFormat="1" applyFont="1" applyFill="1" applyBorder="1" applyAlignment="1"/>
    <xf numFmtId="2" fontId="0" fillId="8" borderId="18" xfId="0" applyNumberFormat="1" applyFont="1" applyFill="1" applyBorder="1" applyAlignment="1"/>
    <xf numFmtId="2" fontId="0" fillId="8" borderId="19" xfId="0" applyNumberFormat="1" applyFont="1" applyFill="1" applyBorder="1" applyAlignment="1"/>
    <xf numFmtId="2" fontId="0" fillId="8" borderId="20" xfId="0" applyNumberFormat="1" applyFont="1" applyFill="1" applyBorder="1" applyAlignment="1"/>
    <xf numFmtId="2" fontId="0" fillId="8" borderId="21" xfId="0" applyNumberFormat="1" applyFont="1" applyFill="1" applyBorder="1" applyAlignment="1"/>
    <xf numFmtId="2" fontId="0" fillId="8" borderId="22" xfId="0" applyNumberFormat="1" applyFont="1" applyFill="1" applyBorder="1" applyAlignment="1"/>
    <xf numFmtId="172" fontId="0" fillId="8" borderId="62" xfId="0" applyNumberFormat="1" applyFont="1" applyFill="1" applyBorder="1" applyAlignment="1"/>
    <xf numFmtId="172" fontId="0" fillId="8" borderId="25" xfId="0" applyNumberFormat="1" applyFont="1" applyFill="1" applyBorder="1" applyAlignment="1"/>
    <xf numFmtId="172" fontId="13" fillId="8" borderId="62" xfId="0" applyNumberFormat="1" applyFont="1" applyFill="1" applyBorder="1" applyAlignment="1"/>
    <xf numFmtId="172" fontId="13" fillId="8" borderId="25" xfId="0" applyNumberFormat="1" applyFont="1" applyFill="1" applyBorder="1" applyAlignment="1"/>
    <xf numFmtId="0" fontId="15" fillId="8" borderId="24" xfId="0" applyFont="1" applyFill="1" applyBorder="1" applyAlignment="1">
      <alignment horizontal="right"/>
    </xf>
    <xf numFmtId="0" fontId="22" fillId="8" borderId="24" xfId="0" applyFont="1" applyFill="1" applyBorder="1" applyAlignment="1">
      <alignment horizontal="right"/>
    </xf>
    <xf numFmtId="0" fontId="26" fillId="0" borderId="0" xfId="0" applyFont="1" applyAlignment="1"/>
    <xf numFmtId="44" fontId="26" fillId="0" borderId="0" xfId="4" applyFont="1" applyAlignment="1"/>
    <xf numFmtId="0" fontId="27" fillId="3" borderId="60" xfId="0" applyFont="1" applyFill="1" applyBorder="1"/>
    <xf numFmtId="2" fontId="28" fillId="3" borderId="17" xfId="0" applyNumberFormat="1" applyFont="1" applyFill="1" applyBorder="1"/>
    <xf numFmtId="0" fontId="27" fillId="3" borderId="62" xfId="0" applyFont="1" applyFill="1" applyBorder="1"/>
    <xf numFmtId="2" fontId="28" fillId="3" borderId="19" xfId="0" applyNumberFormat="1" applyFont="1" applyFill="1" applyBorder="1"/>
    <xf numFmtId="0" fontId="27" fillId="3" borderId="25" xfId="0" applyFont="1" applyFill="1" applyBorder="1"/>
    <xf numFmtId="2" fontId="28" fillId="3" borderId="22" xfId="0" applyNumberFormat="1" applyFont="1" applyFill="1" applyBorder="1"/>
    <xf numFmtId="0" fontId="27" fillId="9" borderId="64" xfId="0" applyFont="1" applyFill="1" applyBorder="1" applyAlignment="1"/>
    <xf numFmtId="2" fontId="25" fillId="8" borderId="59" xfId="0" applyNumberFormat="1" applyFont="1" applyFill="1" applyBorder="1" applyAlignment="1"/>
    <xf numFmtId="2" fontId="26" fillId="0" borderId="0" xfId="0" applyNumberFormat="1" applyFont="1" applyAlignment="1"/>
    <xf numFmtId="0" fontId="28" fillId="3" borderId="30" xfId="0" applyFont="1" applyFill="1" applyBorder="1" applyAlignment="1"/>
    <xf numFmtId="0" fontId="29" fillId="3" borderId="31" xfId="0" applyFont="1" applyFill="1" applyBorder="1" applyAlignment="1"/>
    <xf numFmtId="0" fontId="29" fillId="3" borderId="32" xfId="0" applyFont="1" applyFill="1" applyBorder="1" applyAlignment="1"/>
    <xf numFmtId="0" fontId="29" fillId="3" borderId="33" xfId="0" applyFont="1" applyFill="1" applyBorder="1" applyAlignment="1"/>
    <xf numFmtId="0" fontId="29" fillId="3" borderId="0" xfId="0" applyFont="1" applyFill="1" applyBorder="1" applyAlignment="1"/>
    <xf numFmtId="0" fontId="29" fillId="3" borderId="34" xfId="0" applyFont="1" applyFill="1" applyBorder="1" applyAlignment="1"/>
    <xf numFmtId="0" fontId="29" fillId="4" borderId="33" xfId="0" applyFont="1" applyFill="1" applyBorder="1" applyAlignment="1"/>
    <xf numFmtId="0" fontId="29" fillId="4" borderId="0" xfId="0" applyFont="1" applyFill="1" applyBorder="1" applyAlignment="1"/>
    <xf numFmtId="0" fontId="29" fillId="4" borderId="6" xfId="0" applyFont="1" applyFill="1" applyBorder="1" applyAlignment="1"/>
    <xf numFmtId="0" fontId="30" fillId="4" borderId="0" xfId="0" applyFont="1" applyFill="1" applyBorder="1" applyAlignment="1">
      <alignment horizontal="right"/>
    </xf>
    <xf numFmtId="0" fontId="30" fillId="4" borderId="5" xfId="0" applyFont="1" applyFill="1" applyBorder="1" applyAlignment="1">
      <alignment horizontal="right"/>
    </xf>
    <xf numFmtId="0" fontId="30" fillId="4" borderId="34" xfId="0" applyFont="1" applyFill="1" applyBorder="1" applyAlignment="1">
      <alignment horizontal="right"/>
    </xf>
    <xf numFmtId="0" fontId="28" fillId="3" borderId="33" xfId="0" applyFont="1" applyFill="1" applyBorder="1" applyAlignment="1"/>
    <xf numFmtId="0" fontId="29" fillId="3" borderId="0" xfId="0" applyFont="1" applyFill="1" applyBorder="1"/>
    <xf numFmtId="0" fontId="32" fillId="3" borderId="0" xfId="0" applyFont="1" applyFill="1" applyBorder="1"/>
    <xf numFmtId="0" fontId="32" fillId="3" borderId="5" xfId="0" applyFont="1" applyFill="1" applyBorder="1"/>
    <xf numFmtId="0" fontId="29" fillId="3" borderId="34" xfId="0" applyFont="1" applyFill="1" applyBorder="1"/>
    <xf numFmtId="167" fontId="32" fillId="3" borderId="0" xfId="0" applyNumberFormat="1" applyFont="1" applyFill="1" applyBorder="1" applyAlignment="1"/>
    <xf numFmtId="167" fontId="32" fillId="3" borderId="5" xfId="0" applyNumberFormat="1" applyFont="1" applyFill="1" applyBorder="1" applyAlignment="1"/>
    <xf numFmtId="44" fontId="33" fillId="3" borderId="0" xfId="4" applyFont="1" applyFill="1" applyBorder="1"/>
    <xf numFmtId="44" fontId="33" fillId="3" borderId="34" xfId="4" applyFont="1" applyFill="1" applyBorder="1"/>
    <xf numFmtId="165" fontId="32" fillId="3" borderId="0" xfId="0" applyNumberFormat="1" applyFont="1" applyFill="1" applyBorder="1" applyAlignment="1"/>
    <xf numFmtId="165" fontId="32" fillId="3" borderId="5" xfId="0" applyNumberFormat="1" applyFont="1" applyFill="1" applyBorder="1" applyAlignment="1"/>
    <xf numFmtId="165" fontId="33" fillId="3" borderId="0" xfId="0" applyNumberFormat="1" applyFont="1" applyFill="1" applyBorder="1"/>
    <xf numFmtId="165" fontId="33" fillId="3" borderId="34" xfId="0" applyNumberFormat="1" applyFont="1" applyFill="1" applyBorder="1"/>
    <xf numFmtId="0" fontId="29" fillId="3" borderId="36" xfId="0" applyFont="1" applyFill="1" applyBorder="1" applyAlignment="1"/>
    <xf numFmtId="0" fontId="29" fillId="3" borderId="9" xfId="0" applyFont="1" applyFill="1" applyBorder="1"/>
    <xf numFmtId="165" fontId="32" fillId="3" borderId="9" xfId="0" applyNumberFormat="1" applyFont="1" applyFill="1" applyBorder="1" applyAlignment="1"/>
    <xf numFmtId="165" fontId="32" fillId="3" borderId="10" xfId="0" applyNumberFormat="1" applyFont="1" applyFill="1" applyBorder="1" applyAlignment="1"/>
    <xf numFmtId="0" fontId="28" fillId="3" borderId="0" xfId="0" applyFont="1" applyFill="1" applyBorder="1"/>
    <xf numFmtId="167" fontId="28" fillId="3" borderId="0" xfId="0" applyNumberFormat="1" applyFont="1" applyFill="1" applyBorder="1"/>
    <xf numFmtId="167" fontId="28" fillId="3" borderId="1" xfId="0" applyNumberFormat="1" applyFont="1" applyFill="1" applyBorder="1"/>
    <xf numFmtId="167" fontId="28" fillId="3" borderId="2" xfId="0" applyNumberFormat="1" applyFont="1" applyFill="1" applyBorder="1"/>
    <xf numFmtId="167" fontId="28" fillId="3" borderId="37" xfId="0" applyNumberFormat="1" applyFont="1" applyFill="1" applyBorder="1"/>
    <xf numFmtId="0" fontId="34" fillId="3" borderId="42" xfId="0" applyFont="1" applyFill="1" applyBorder="1" applyAlignment="1"/>
    <xf numFmtId="0" fontId="28" fillId="3" borderId="43" xfId="0" applyFont="1" applyFill="1" applyBorder="1"/>
    <xf numFmtId="167" fontId="28" fillId="3" borderId="43" xfId="0" applyNumberFormat="1" applyFont="1" applyFill="1" applyBorder="1"/>
    <xf numFmtId="167" fontId="28" fillId="3" borderId="44" xfId="0" applyNumberFormat="1" applyFont="1" applyFill="1" applyBorder="1"/>
    <xf numFmtId="167" fontId="28" fillId="3" borderId="46" xfId="0" applyNumberFormat="1" applyFont="1" applyFill="1" applyBorder="1"/>
    <xf numFmtId="0" fontId="29" fillId="3" borderId="33" xfId="0" applyFont="1" applyFill="1" applyBorder="1"/>
    <xf numFmtId="9" fontId="29" fillId="3" borderId="0" xfId="2" applyFont="1" applyFill="1" applyBorder="1"/>
    <xf numFmtId="9" fontId="29" fillId="3" borderId="34" xfId="2" applyFont="1" applyFill="1" applyBorder="1"/>
    <xf numFmtId="167" fontId="35" fillId="3" borderId="0" xfId="0" applyNumberFormat="1" applyFont="1" applyFill="1" applyBorder="1" applyAlignment="1"/>
    <xf numFmtId="167" fontId="35" fillId="3" borderId="0" xfId="0" applyNumberFormat="1" applyFont="1" applyFill="1" applyBorder="1"/>
    <xf numFmtId="167" fontId="35" fillId="3" borderId="5" xfId="0" applyNumberFormat="1" applyFont="1" applyFill="1" applyBorder="1"/>
    <xf numFmtId="165" fontId="35" fillId="3" borderId="0" xfId="0" applyNumberFormat="1" applyFont="1" applyFill="1" applyBorder="1" applyAlignment="1"/>
    <xf numFmtId="165" fontId="35" fillId="3" borderId="5" xfId="0" applyNumberFormat="1" applyFont="1" applyFill="1" applyBorder="1" applyAlignment="1"/>
    <xf numFmtId="165" fontId="35" fillId="3" borderId="9" xfId="0" applyNumberFormat="1" applyFont="1" applyFill="1" applyBorder="1" applyAlignment="1"/>
    <xf numFmtId="165" fontId="35" fillId="3" borderId="10" xfId="0" applyNumberFormat="1" applyFont="1" applyFill="1" applyBorder="1" applyAlignment="1"/>
    <xf numFmtId="168" fontId="28" fillId="3" borderId="33" xfId="0" applyNumberFormat="1" applyFont="1" applyFill="1" applyBorder="1" applyAlignment="1"/>
    <xf numFmtId="168" fontId="28" fillId="3" borderId="0" xfId="0" applyNumberFormat="1" applyFont="1" applyFill="1" applyBorder="1"/>
    <xf numFmtId="168" fontId="28" fillId="3" borderId="42" xfId="0" applyNumberFormat="1" applyFont="1" applyFill="1" applyBorder="1" applyAlignment="1"/>
    <xf numFmtId="168" fontId="28" fillId="3" borderId="43" xfId="0" applyNumberFormat="1" applyFont="1" applyFill="1" applyBorder="1"/>
    <xf numFmtId="167" fontId="28" fillId="3" borderId="45" xfId="0" applyNumberFormat="1" applyFont="1" applyFill="1" applyBorder="1"/>
    <xf numFmtId="0" fontId="29" fillId="3" borderId="33" xfId="0" applyFont="1" applyFill="1" applyBorder="1" applyAlignment="1">
      <alignment horizontal="left" indent="12"/>
    </xf>
    <xf numFmtId="167" fontId="29" fillId="3" borderId="0" xfId="0" applyNumberFormat="1" applyFont="1" applyFill="1" applyBorder="1"/>
    <xf numFmtId="167" fontId="29" fillId="3" borderId="5" xfId="0" applyNumberFormat="1" applyFont="1" applyFill="1" applyBorder="1"/>
    <xf numFmtId="168" fontId="29" fillId="3" borderId="33" xfId="0" applyNumberFormat="1" applyFont="1" applyFill="1" applyBorder="1" applyAlignment="1"/>
    <xf numFmtId="168" fontId="29" fillId="9" borderId="0" xfId="0" applyNumberFormat="1" applyFont="1" applyFill="1" applyBorder="1"/>
    <xf numFmtId="1" fontId="26" fillId="8" borderId="0" xfId="0" applyNumberFormat="1" applyFont="1" applyFill="1" applyBorder="1" applyAlignment="1">
      <alignment horizontal="right"/>
    </xf>
    <xf numFmtId="167" fontId="29" fillId="3" borderId="1" xfId="0" applyNumberFormat="1" applyFont="1" applyFill="1" applyBorder="1"/>
    <xf numFmtId="167" fontId="29" fillId="3" borderId="38" xfId="0" applyNumberFormat="1" applyFont="1" applyFill="1" applyBorder="1"/>
    <xf numFmtId="168" fontId="34" fillId="3" borderId="42" xfId="0" applyNumberFormat="1" applyFont="1" applyFill="1" applyBorder="1" applyAlignment="1"/>
    <xf numFmtId="0" fontId="25" fillId="0" borderId="0" xfId="0" applyFont="1" applyBorder="1" applyAlignment="1"/>
    <xf numFmtId="0" fontId="43" fillId="8" borderId="16" xfId="0" applyFont="1" applyFill="1" applyBorder="1" applyAlignment="1"/>
    <xf numFmtId="0" fontId="0" fillId="8" borderId="60" xfId="0" applyFont="1" applyFill="1" applyBorder="1" applyAlignment="1"/>
    <xf numFmtId="0" fontId="0" fillId="8" borderId="62" xfId="0" applyFont="1" applyFill="1" applyBorder="1" applyAlignment="1"/>
    <xf numFmtId="3" fontId="0" fillId="8" borderId="62" xfId="0" applyNumberFormat="1" applyFont="1" applyFill="1" applyBorder="1" applyAlignment="1"/>
    <xf numFmtId="9" fontId="0" fillId="8" borderId="62" xfId="0" applyNumberFormat="1" applyFont="1" applyFill="1" applyBorder="1" applyAlignment="1"/>
    <xf numFmtId="9" fontId="0" fillId="8" borderId="25" xfId="0" applyNumberFormat="1" applyFont="1" applyFill="1" applyBorder="1" applyAlignment="1"/>
    <xf numFmtId="179" fontId="58" fillId="0" borderId="0" xfId="1" applyNumberFormat="1" applyFont="1" applyAlignment="1"/>
    <xf numFmtId="179" fontId="55" fillId="0" borderId="0" xfId="1" applyNumberFormat="1" applyFont="1" applyFill="1" applyBorder="1" applyAlignment="1" applyProtection="1">
      <protection locked="0"/>
    </xf>
    <xf numFmtId="0" fontId="15" fillId="8" borderId="23" xfId="0" applyFont="1" applyFill="1" applyBorder="1" applyAlignment="1"/>
    <xf numFmtId="44" fontId="13" fillId="8" borderId="62" xfId="0" applyNumberFormat="1" applyFont="1" applyFill="1" applyBorder="1" applyAlignment="1"/>
    <xf numFmtId="0" fontId="15" fillId="8" borderId="16" xfId="0" applyFont="1" applyFill="1" applyBorder="1" applyAlignment="1"/>
    <xf numFmtId="44" fontId="0" fillId="8" borderId="17" xfId="0" applyNumberFormat="1" applyFont="1" applyFill="1" applyBorder="1" applyAlignment="1"/>
    <xf numFmtId="0" fontId="15" fillId="8" borderId="20" xfId="0" applyFont="1" applyFill="1" applyBorder="1" applyAlignment="1"/>
    <xf numFmtId="9" fontId="0" fillId="8" borderId="22" xfId="2" applyFont="1" applyFill="1" applyBorder="1" applyAlignment="1"/>
    <xf numFmtId="0" fontId="15" fillId="8" borderId="27" xfId="0" applyFont="1" applyFill="1" applyBorder="1" applyAlignment="1"/>
    <xf numFmtId="0" fontId="58" fillId="0" borderId="0" xfId="0" applyFont="1" applyAlignment="1"/>
    <xf numFmtId="0" fontId="62" fillId="0" borderId="0" xfId="0" applyFont="1" applyAlignment="1"/>
    <xf numFmtId="0" fontId="62" fillId="0" borderId="0" xfId="0" applyFont="1" applyAlignment="1">
      <alignment horizontal="right"/>
    </xf>
    <xf numFmtId="2" fontId="58" fillId="0" borderId="0" xfId="0" applyNumberFormat="1" applyFont="1" applyAlignment="1"/>
    <xf numFmtId="0" fontId="63" fillId="0" borderId="0" xfId="0" applyFont="1" applyAlignment="1"/>
    <xf numFmtId="0" fontId="20" fillId="0" borderId="0" xfId="0" applyFont="1" applyAlignment="1"/>
    <xf numFmtId="37" fontId="51" fillId="14" borderId="23" xfId="0" applyNumberFormat="1" applyFont="1" applyFill="1" applyBorder="1" applyAlignment="1">
      <alignment vertical="center"/>
    </xf>
    <xf numFmtId="37" fontId="39" fillId="14" borderId="26" xfId="0" applyNumberFormat="1" applyFont="1" applyFill="1" applyBorder="1" applyAlignment="1">
      <alignment vertical="center"/>
    </xf>
    <xf numFmtId="37" fontId="41" fillId="14" borderId="26" xfId="0" applyNumberFormat="1" applyFont="1" applyFill="1" applyBorder="1" applyAlignment="1">
      <alignment vertical="center"/>
    </xf>
    <xf numFmtId="173" fontId="39" fillId="14" borderId="26" xfId="0" applyNumberFormat="1" applyFont="1" applyFill="1" applyBorder="1" applyAlignment="1">
      <alignment horizontal="right"/>
    </xf>
    <xf numFmtId="173" fontId="39" fillId="14" borderId="27" xfId="0" applyNumberFormat="1" applyFont="1" applyFill="1" applyBorder="1" applyAlignment="1">
      <alignment horizontal="right"/>
    </xf>
    <xf numFmtId="37" fontId="45" fillId="8" borderId="0" xfId="0" applyNumberFormat="1" applyFont="1" applyFill="1" applyBorder="1" applyAlignment="1">
      <alignment vertical="center"/>
    </xf>
    <xf numFmtId="37" fontId="36" fillId="8" borderId="0" xfId="0" applyNumberFormat="1" applyFont="1" applyFill="1" applyBorder="1" applyAlignment="1">
      <alignment vertical="center"/>
    </xf>
    <xf numFmtId="37" fontId="44" fillId="8" borderId="0" xfId="0" applyNumberFormat="1" applyFont="1" applyFill="1" applyBorder="1" applyAlignment="1">
      <alignment vertical="center"/>
    </xf>
    <xf numFmtId="173" fontId="36" fillId="8" borderId="0" xfId="0" applyNumberFormat="1" applyFont="1" applyFill="1" applyBorder="1" applyAlignment="1">
      <alignment horizontal="right"/>
    </xf>
    <xf numFmtId="173" fontId="36" fillId="8" borderId="19" xfId="0" applyNumberFormat="1" applyFont="1" applyFill="1" applyBorder="1" applyAlignment="1">
      <alignment horizontal="right"/>
    </xf>
    <xf numFmtId="174" fontId="38" fillId="8" borderId="0" xfId="0" applyNumberFormat="1" applyFont="1" applyFill="1" applyBorder="1" applyAlignment="1">
      <alignment vertical="center"/>
    </xf>
    <xf numFmtId="173" fontId="39" fillId="8" borderId="0" xfId="0" applyNumberFormat="1" applyFont="1" applyFill="1" applyBorder="1" applyAlignment="1">
      <alignment horizontal="right"/>
    </xf>
    <xf numFmtId="173" fontId="46" fillId="8" borderId="0" xfId="0" applyNumberFormat="1" applyFont="1" applyFill="1" applyBorder="1" applyAlignment="1">
      <alignment horizontal="right"/>
    </xf>
    <xf numFmtId="0" fontId="40" fillId="8" borderId="0" xfId="0" applyFont="1" applyFill="1" applyBorder="1" applyAlignment="1">
      <alignment horizontal="left"/>
    </xf>
    <xf numFmtId="0" fontId="47" fillId="8" borderId="0" xfId="0" applyFont="1" applyFill="1" applyBorder="1"/>
    <xf numFmtId="0" fontId="37" fillId="8" borderId="0" xfId="0" applyFont="1" applyFill="1" applyBorder="1" applyAlignment="1">
      <alignment vertical="center"/>
    </xf>
    <xf numFmtId="0" fontId="48" fillId="8" borderId="0" xfId="0" applyFont="1" applyFill="1" applyBorder="1" applyAlignment="1">
      <alignment horizontal="right" vertical="center"/>
    </xf>
    <xf numFmtId="176" fontId="49" fillId="8" borderId="0" xfId="0" applyNumberFormat="1" applyFont="1" applyFill="1" applyBorder="1" applyAlignment="1">
      <alignment horizontal="right" vertical="center"/>
    </xf>
    <xf numFmtId="0" fontId="47" fillId="8" borderId="19" xfId="0" applyFont="1" applyFill="1" applyBorder="1"/>
    <xf numFmtId="178" fontId="53" fillId="8" borderId="18" xfId="1" applyNumberFormat="1" applyFont="1" applyFill="1" applyBorder="1" applyProtection="1">
      <protection locked="0"/>
    </xf>
    <xf numFmtId="178" fontId="53" fillId="8" borderId="0" xfId="1" applyNumberFormat="1" applyFont="1" applyFill="1" applyBorder="1" applyProtection="1">
      <protection locked="0"/>
    </xf>
    <xf numFmtId="178" fontId="53" fillId="8" borderId="0" xfId="1" applyNumberFormat="1" applyFont="1" applyFill="1" applyBorder="1" applyAlignment="1" applyProtection="1">
      <alignment horizontal="center"/>
      <protection locked="0"/>
    </xf>
    <xf numFmtId="169" fontId="55" fillId="8" borderId="0" xfId="2" applyNumberFormat="1" applyFont="1" applyFill="1" applyBorder="1" applyProtection="1">
      <protection locked="0"/>
    </xf>
    <xf numFmtId="169" fontId="56" fillId="8" borderId="0" xfId="2" applyNumberFormat="1" applyFont="1" applyFill="1" applyBorder="1" applyProtection="1">
      <protection locked="0"/>
    </xf>
    <xf numFmtId="169" fontId="56" fillId="8" borderId="19" xfId="2" applyNumberFormat="1" applyFont="1" applyFill="1" applyBorder="1" applyProtection="1">
      <protection locked="0"/>
    </xf>
    <xf numFmtId="178" fontId="55" fillId="8" borderId="0" xfId="1" applyNumberFormat="1" applyFont="1" applyFill="1" applyBorder="1" applyProtection="1">
      <protection locked="0"/>
    </xf>
    <xf numFmtId="178" fontId="57" fillId="8" borderId="0" xfId="1" applyNumberFormat="1" applyFont="1" applyFill="1" applyBorder="1" applyProtection="1">
      <protection locked="0"/>
    </xf>
    <xf numFmtId="178" fontId="57" fillId="8" borderId="0" xfId="1" applyNumberFormat="1" applyFont="1" applyFill="1" applyBorder="1" applyAlignment="1" applyProtection="1">
      <alignment horizontal="center"/>
      <protection locked="0"/>
    </xf>
    <xf numFmtId="178" fontId="56" fillId="8" borderId="0" xfId="1" applyNumberFormat="1" applyFont="1" applyFill="1" applyBorder="1" applyProtection="1">
      <protection locked="0"/>
    </xf>
    <xf numFmtId="178" fontId="56" fillId="8" borderId="19" xfId="1" applyNumberFormat="1" applyFont="1" applyFill="1" applyBorder="1" applyProtection="1">
      <protection locked="0"/>
    </xf>
    <xf numFmtId="37" fontId="50" fillId="8" borderId="0" xfId="0" applyNumberFormat="1" applyFont="1" applyFill="1" applyBorder="1" applyAlignment="1">
      <alignment vertical="center"/>
    </xf>
    <xf numFmtId="175" fontId="39" fillId="8" borderId="0" xfId="0" applyNumberFormat="1" applyFont="1" applyFill="1" applyBorder="1" applyAlignment="1">
      <alignment horizontal="right"/>
    </xf>
    <xf numFmtId="175" fontId="39" fillId="8" borderId="19" xfId="0" applyNumberFormat="1" applyFont="1" applyFill="1" applyBorder="1" applyAlignment="1">
      <alignment horizontal="right"/>
    </xf>
    <xf numFmtId="169" fontId="42" fillId="8" borderId="0" xfId="0" applyNumberFormat="1" applyFont="1" applyFill="1" applyBorder="1" applyAlignment="1">
      <alignment vertical="center"/>
    </xf>
    <xf numFmtId="169" fontId="42" fillId="8" borderId="19" xfId="0" applyNumberFormat="1" applyFont="1" applyFill="1" applyBorder="1" applyAlignment="1">
      <alignment vertical="center"/>
    </xf>
    <xf numFmtId="0" fontId="40" fillId="8" borderId="0" xfId="0" applyFont="1" applyFill="1" applyBorder="1" applyAlignment="1">
      <alignment horizontal="left" indent="1"/>
    </xf>
    <xf numFmtId="0" fontId="41" fillId="8" borderId="0" xfId="0" applyFont="1" applyFill="1" applyBorder="1" applyAlignment="1">
      <alignment horizontal="right" vertical="center"/>
    </xf>
    <xf numFmtId="177" fontId="42" fillId="8" borderId="67" xfId="0" applyNumberFormat="1" applyFont="1" applyFill="1" applyBorder="1" applyAlignment="1">
      <alignment horizontal="right" vertical="center"/>
    </xf>
    <xf numFmtId="177" fontId="42" fillId="8" borderId="68" xfId="0" applyNumberFormat="1" applyFont="1" applyFill="1" applyBorder="1" applyAlignment="1">
      <alignment horizontal="right" vertical="center"/>
    </xf>
    <xf numFmtId="177" fontId="42" fillId="8" borderId="69" xfId="0" applyNumberFormat="1" applyFont="1" applyFill="1" applyBorder="1" applyAlignment="1">
      <alignment horizontal="right" vertical="center"/>
    </xf>
    <xf numFmtId="178" fontId="59" fillId="8" borderId="0" xfId="1" applyNumberFormat="1" applyFont="1" applyFill="1" applyBorder="1" applyProtection="1">
      <protection locked="0"/>
    </xf>
    <xf numFmtId="178" fontId="60" fillId="8" borderId="0" xfId="1" applyNumberFormat="1" applyFont="1" applyFill="1" applyBorder="1" applyAlignment="1" applyProtection="1">
      <alignment horizontal="center"/>
      <protection locked="0"/>
    </xf>
    <xf numFmtId="178" fontId="60" fillId="8" borderId="0" xfId="1" applyNumberFormat="1" applyFont="1" applyFill="1" applyBorder="1" applyProtection="1">
      <protection locked="0"/>
    </xf>
    <xf numFmtId="169" fontId="60" fillId="8" borderId="0" xfId="2" applyNumberFormat="1" applyFont="1" applyFill="1" applyBorder="1" applyProtection="1">
      <protection locked="0"/>
    </xf>
    <xf numFmtId="178" fontId="61" fillId="8" borderId="0" xfId="1" applyNumberFormat="1" applyFont="1" applyFill="1" applyBorder="1" applyProtection="1">
      <protection locked="0"/>
    </xf>
    <xf numFmtId="178" fontId="61" fillId="8" borderId="0" xfId="1" applyNumberFormat="1" applyFont="1" applyFill="1" applyBorder="1" applyAlignment="1" applyProtection="1">
      <alignment horizontal="center"/>
      <protection locked="0"/>
    </xf>
    <xf numFmtId="9" fontId="60" fillId="8" borderId="0" xfId="1" applyNumberFormat="1" applyFont="1" applyFill="1" applyBorder="1" applyProtection="1">
      <protection locked="0"/>
    </xf>
    <xf numFmtId="9" fontId="60" fillId="8" borderId="19" xfId="1" applyNumberFormat="1" applyFont="1" applyFill="1" applyBorder="1" applyProtection="1">
      <protection locked="0"/>
    </xf>
    <xf numFmtId="178" fontId="52" fillId="8" borderId="0" xfId="1" applyNumberFormat="1" applyFont="1" applyFill="1" applyBorder="1" applyProtection="1">
      <protection locked="0"/>
    </xf>
    <xf numFmtId="178" fontId="52" fillId="8" borderId="0" xfId="1" applyNumberFormat="1" applyFont="1" applyFill="1" applyBorder="1" applyAlignment="1" applyProtection="1">
      <alignment horizontal="center"/>
      <protection locked="0"/>
    </xf>
    <xf numFmtId="178" fontId="54" fillId="8" borderId="0" xfId="1" applyNumberFormat="1" applyFont="1" applyFill="1" applyBorder="1" applyProtection="1">
      <protection locked="0"/>
    </xf>
    <xf numFmtId="178" fontId="52" fillId="8" borderId="70" xfId="1" applyNumberFormat="1" applyFont="1" applyFill="1" applyBorder="1" applyProtection="1">
      <protection locked="0"/>
    </xf>
    <xf numFmtId="178" fontId="53" fillId="8" borderId="71" xfId="1" applyNumberFormat="1" applyFont="1" applyFill="1" applyBorder="1" applyProtection="1">
      <protection locked="0"/>
    </xf>
    <xf numFmtId="178" fontId="53" fillId="8" borderId="71" xfId="1" applyNumberFormat="1" applyFont="1" applyFill="1" applyBorder="1" applyAlignment="1" applyProtection="1">
      <alignment horizontal="center"/>
      <protection locked="0"/>
    </xf>
    <xf numFmtId="178" fontId="64" fillId="8" borderId="71" xfId="1" applyNumberFormat="1" applyFont="1" applyFill="1" applyBorder="1" applyProtection="1">
      <protection locked="0"/>
    </xf>
    <xf numFmtId="9" fontId="52" fillId="8" borderId="71" xfId="2" applyFont="1" applyFill="1" applyBorder="1" applyProtection="1">
      <protection locked="0"/>
    </xf>
    <xf numFmtId="10" fontId="53" fillId="8" borderId="71" xfId="2" applyNumberFormat="1" applyFont="1" applyFill="1" applyBorder="1" applyProtection="1">
      <protection locked="0"/>
    </xf>
    <xf numFmtId="10" fontId="53" fillId="8" borderId="72" xfId="2" applyNumberFormat="1" applyFont="1" applyFill="1" applyBorder="1" applyProtection="1">
      <protection locked="0"/>
    </xf>
    <xf numFmtId="169" fontId="60" fillId="8" borderId="19" xfId="2" applyNumberFormat="1" applyFont="1" applyFill="1" applyBorder="1" applyProtection="1">
      <protection locked="0"/>
    </xf>
    <xf numFmtId="178" fontId="59" fillId="8" borderId="0" xfId="1" applyNumberFormat="1" applyFont="1" applyFill="1" applyBorder="1" applyAlignment="1" applyProtection="1">
      <alignment horizontal="center"/>
      <protection locked="0"/>
    </xf>
    <xf numFmtId="178" fontId="59" fillId="8" borderId="23" xfId="1" applyNumberFormat="1" applyFont="1" applyFill="1" applyBorder="1" applyProtection="1">
      <protection locked="0"/>
    </xf>
    <xf numFmtId="178" fontId="59" fillId="8" borderId="26" xfId="1" applyNumberFormat="1" applyFont="1" applyFill="1" applyBorder="1" applyProtection="1">
      <protection locked="0"/>
    </xf>
    <xf numFmtId="178" fontId="60" fillId="8" borderId="26" xfId="1" applyNumberFormat="1" applyFont="1" applyFill="1" applyBorder="1" applyAlignment="1" applyProtection="1">
      <alignment horizontal="center"/>
      <protection locked="0"/>
    </xf>
    <xf numFmtId="178" fontId="60" fillId="8" borderId="26" xfId="1" applyNumberFormat="1" applyFont="1" applyFill="1" applyBorder="1" applyProtection="1">
      <protection locked="0"/>
    </xf>
    <xf numFmtId="9" fontId="59" fillId="8" borderId="26" xfId="2" applyFont="1" applyFill="1" applyBorder="1" applyProtection="1">
      <protection locked="0"/>
    </xf>
    <xf numFmtId="10" fontId="60" fillId="8" borderId="26" xfId="2" applyNumberFormat="1" applyFont="1" applyFill="1" applyBorder="1" applyProtection="1">
      <protection locked="0"/>
    </xf>
    <xf numFmtId="10" fontId="60" fillId="8" borderId="27" xfId="2" applyNumberFormat="1" applyFont="1" applyFill="1" applyBorder="1" applyProtection="1">
      <protection locked="0"/>
    </xf>
    <xf numFmtId="175" fontId="39" fillId="8" borderId="73" xfId="0" applyNumberFormat="1" applyFont="1" applyFill="1" applyBorder="1" applyAlignment="1">
      <alignment horizontal="right"/>
    </xf>
    <xf numFmtId="175" fontId="39" fillId="8" borderId="74" xfId="0" applyNumberFormat="1" applyFont="1" applyFill="1" applyBorder="1" applyAlignment="1">
      <alignment horizontal="right"/>
    </xf>
    <xf numFmtId="178" fontId="52" fillId="8" borderId="71" xfId="1" applyNumberFormat="1" applyFont="1" applyFill="1" applyBorder="1" applyProtection="1">
      <protection locked="0"/>
    </xf>
    <xf numFmtId="178" fontId="52" fillId="8" borderId="71" xfId="1" applyNumberFormat="1" applyFont="1" applyFill="1" applyBorder="1" applyAlignment="1" applyProtection="1">
      <alignment horizontal="center"/>
      <protection locked="0"/>
    </xf>
    <xf numFmtId="10" fontId="52" fillId="8" borderId="71" xfId="2" applyNumberFormat="1" applyFont="1" applyFill="1" applyBorder="1" applyProtection="1">
      <protection locked="0"/>
    </xf>
    <xf numFmtId="10" fontId="52" fillId="8" borderId="72" xfId="2" applyNumberFormat="1" applyFont="1" applyFill="1" applyBorder="1" applyProtection="1">
      <protection locked="0"/>
    </xf>
    <xf numFmtId="0" fontId="15" fillId="8" borderId="19" xfId="0" applyFont="1" applyFill="1" applyBorder="1" applyAlignment="1"/>
    <xf numFmtId="0" fontId="25" fillId="15" borderId="64" xfId="0" applyFont="1" applyFill="1" applyBorder="1" applyAlignment="1"/>
    <xf numFmtId="0" fontId="26" fillId="15" borderId="66" xfId="0" applyFont="1" applyFill="1" applyBorder="1" applyAlignment="1"/>
    <xf numFmtId="0" fontId="26" fillId="15" borderId="65" xfId="0" applyFont="1" applyFill="1" applyBorder="1" applyAlignment="1"/>
    <xf numFmtId="169" fontId="55" fillId="0" borderId="0" xfId="2" applyNumberFormat="1" applyFont="1" applyFill="1" applyBorder="1" applyAlignment="1" applyProtection="1">
      <protection locked="0"/>
    </xf>
    <xf numFmtId="0" fontId="22" fillId="0" borderId="0" xfId="0" applyFont="1" applyAlignment="1"/>
    <xf numFmtId="0" fontId="15" fillId="0" borderId="18" xfId="0" applyFont="1" applyBorder="1" applyAlignment="1"/>
    <xf numFmtId="9" fontId="58" fillId="3" borderId="0" xfId="0" applyNumberFormat="1" applyFont="1" applyFill="1"/>
    <xf numFmtId="0" fontId="58" fillId="3" borderId="5" xfId="0" applyFont="1" applyFill="1" applyBorder="1"/>
    <xf numFmtId="180" fontId="2" fillId="3" borderId="0" xfId="0" applyNumberFormat="1" applyFont="1" applyFill="1" applyAlignment="1"/>
    <xf numFmtId="0" fontId="25" fillId="8" borderId="0" xfId="0" applyFont="1" applyFill="1" applyBorder="1" applyAlignment="1"/>
    <xf numFmtId="0" fontId="65" fillId="0" borderId="0" xfId="0" applyFont="1" applyAlignment="1"/>
    <xf numFmtId="0" fontId="66" fillId="0" borderId="0" xfId="0" applyFont="1" applyAlignment="1"/>
    <xf numFmtId="0" fontId="25" fillId="0" borderId="0" xfId="0" applyFont="1" applyAlignment="1"/>
    <xf numFmtId="0" fontId="25" fillId="8" borderId="21" xfId="0" applyFont="1" applyFill="1" applyBorder="1" applyAlignment="1"/>
    <xf numFmtId="9" fontId="26" fillId="8" borderId="21" xfId="2" applyFont="1" applyFill="1" applyBorder="1" applyAlignment="1"/>
    <xf numFmtId="180" fontId="25" fillId="8" borderId="0" xfId="0" applyNumberFormat="1" applyFont="1" applyFill="1" applyAlignment="1"/>
    <xf numFmtId="2" fontId="67" fillId="15" borderId="66" xfId="0" applyNumberFormat="1" applyFont="1" applyFill="1" applyBorder="1" applyAlignment="1"/>
    <xf numFmtId="49" fontId="3" fillId="7" borderId="33" xfId="0" applyNumberFormat="1" applyFont="1" applyFill="1" applyBorder="1" applyAlignment="1">
      <alignment horizontal="left"/>
    </xf>
    <xf numFmtId="0" fontId="3" fillId="7" borderId="33" xfId="0" applyFont="1" applyFill="1" applyBorder="1" applyAlignment="1"/>
    <xf numFmtId="0" fontId="2" fillId="7" borderId="33" xfId="0" applyFont="1" applyFill="1" applyBorder="1" applyAlignment="1"/>
    <xf numFmtId="164" fontId="17" fillId="3" borderId="0" xfId="0" applyNumberFormat="1" applyFont="1" applyFill="1" applyBorder="1"/>
    <xf numFmtId="0" fontId="13" fillId="0" borderId="0" xfId="0" applyFont="1" applyAlignment="1">
      <alignment horizontal="right"/>
    </xf>
    <xf numFmtId="0" fontId="13" fillId="0" borderId="19" xfId="0" applyFont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180" fontId="2" fillId="0" borderId="0" xfId="0" applyNumberFormat="1" applyFont="1" applyFill="1"/>
    <xf numFmtId="0" fontId="15" fillId="0" borderId="21" xfId="0" applyFont="1" applyBorder="1" applyAlignment="1"/>
    <xf numFmtId="0" fontId="15" fillId="0" borderId="21" xfId="0" applyFont="1" applyFill="1" applyBorder="1" applyAlignment="1"/>
    <xf numFmtId="0" fontId="15" fillId="0" borderId="22" xfId="0" applyFont="1" applyBorder="1" applyAlignment="1"/>
    <xf numFmtId="9" fontId="0" fillId="0" borderId="0" xfId="0" applyNumberFormat="1" applyFont="1" applyAlignment="1"/>
    <xf numFmtId="0" fontId="13" fillId="0" borderId="18" xfId="0" applyFont="1" applyBorder="1" applyAlignment="1">
      <alignment horizontal="right"/>
    </xf>
    <xf numFmtId="0" fontId="15" fillId="0" borderId="20" xfId="0" applyFont="1" applyFill="1" applyBorder="1" applyAlignment="1"/>
    <xf numFmtId="0" fontId="13" fillId="0" borderId="0" xfId="0" applyFont="1" applyBorder="1" applyAlignment="1">
      <alignment horizontal="right"/>
    </xf>
    <xf numFmtId="0" fontId="0" fillId="0" borderId="0" xfId="0" applyFont="1" applyBorder="1" applyAlignment="1"/>
    <xf numFmtId="8" fontId="15" fillId="0" borderId="0" xfId="0" applyNumberFormat="1" applyFont="1" applyAlignment="1"/>
    <xf numFmtId="0" fontId="3" fillId="0" borderId="18" xfId="0" applyFont="1" applyFill="1" applyBorder="1"/>
    <xf numFmtId="0" fontId="2" fillId="0" borderId="18" xfId="0" applyFont="1" applyFill="1" applyBorder="1"/>
    <xf numFmtId="0" fontId="2" fillId="0" borderId="18" xfId="0" applyFont="1" applyFill="1" applyBorder="1" applyAlignment="1">
      <alignment horizontal="right"/>
    </xf>
    <xf numFmtId="0" fontId="3" fillId="0" borderId="20" xfId="0" applyFont="1" applyFill="1" applyBorder="1"/>
    <xf numFmtId="180" fontId="2" fillId="0" borderId="18" xfId="0" applyNumberFormat="1" applyFont="1" applyFill="1" applyBorder="1"/>
    <xf numFmtId="9" fontId="2" fillId="0" borderId="18" xfId="2" applyFont="1" applyFill="1" applyBorder="1"/>
    <xf numFmtId="8" fontId="2" fillId="0" borderId="18" xfId="0" applyNumberFormat="1" applyFont="1" applyFill="1" applyBorder="1"/>
    <xf numFmtId="0" fontId="26" fillId="8" borderId="16" xfId="0" applyFont="1" applyFill="1" applyBorder="1" applyAlignment="1"/>
    <xf numFmtId="0" fontId="25" fillId="8" borderId="15" xfId="0" applyFont="1" applyFill="1" applyBorder="1" applyAlignment="1"/>
    <xf numFmtId="0" fontId="25" fillId="8" borderId="17" xfId="0" applyFont="1" applyFill="1" applyBorder="1" applyAlignment="1"/>
    <xf numFmtId="2" fontId="18" fillId="6" borderId="0" xfId="0" applyNumberFormat="1" applyFont="1" applyFill="1" applyBorder="1" applyAlignment="1"/>
    <xf numFmtId="9" fontId="0" fillId="6" borderId="0" xfId="0" applyNumberFormat="1" applyFont="1" applyFill="1" applyBorder="1" applyAlignment="1"/>
    <xf numFmtId="1" fontId="0" fillId="6" borderId="0" xfId="0" applyNumberFormat="1" applyFont="1" applyFill="1" applyBorder="1" applyAlignment="1"/>
    <xf numFmtId="180" fontId="0" fillId="6" borderId="16" xfId="0" applyNumberFormat="1" applyFont="1" applyFill="1" applyBorder="1" applyAlignment="1"/>
    <xf numFmtId="180" fontId="0" fillId="6" borderId="15" xfId="0" applyNumberFormat="1" applyFont="1" applyFill="1" applyBorder="1" applyAlignment="1"/>
    <xf numFmtId="180" fontId="0" fillId="6" borderId="17" xfId="0" applyNumberFormat="1" applyFont="1" applyFill="1" applyBorder="1" applyAlignment="1"/>
    <xf numFmtId="2" fontId="13" fillId="6" borderId="0" xfId="0" applyNumberFormat="1" applyFont="1" applyFill="1" applyBorder="1" applyAlignment="1"/>
    <xf numFmtId="180" fontId="0" fillId="6" borderId="18" xfId="0" applyNumberFormat="1" applyFont="1" applyFill="1" applyBorder="1" applyAlignment="1"/>
    <xf numFmtId="180" fontId="0" fillId="6" borderId="0" xfId="0" applyNumberFormat="1" applyFont="1" applyFill="1" applyBorder="1" applyAlignment="1"/>
    <xf numFmtId="180" fontId="0" fillId="6" borderId="19" xfId="0" applyNumberFormat="1" applyFont="1" applyFill="1" applyBorder="1" applyAlignment="1"/>
    <xf numFmtId="165" fontId="15" fillId="6" borderId="0" xfId="0" applyNumberFormat="1" applyFont="1" applyFill="1" applyBorder="1" applyAlignment="1"/>
    <xf numFmtId="180" fontId="15" fillId="6" borderId="0" xfId="0" applyNumberFormat="1" applyFont="1" applyFill="1" applyBorder="1" applyAlignment="1"/>
    <xf numFmtId="181" fontId="0" fillId="6" borderId="0" xfId="1" applyNumberFormat="1" applyFont="1" applyFill="1" applyBorder="1" applyAlignment="1"/>
    <xf numFmtId="180" fontId="0" fillId="6" borderId="20" xfId="0" applyNumberFormat="1" applyFont="1" applyFill="1" applyBorder="1" applyAlignment="1"/>
    <xf numFmtId="180" fontId="0" fillId="6" borderId="21" xfId="0" applyNumberFormat="1" applyFont="1" applyFill="1" applyBorder="1" applyAlignment="1"/>
    <xf numFmtId="180" fontId="0" fillId="6" borderId="22" xfId="0" applyNumberFormat="1" applyFont="1" applyFill="1" applyBorder="1" applyAlignment="1"/>
    <xf numFmtId="0" fontId="15" fillId="6" borderId="15" xfId="0" applyFont="1" applyFill="1" applyBorder="1" applyAlignment="1"/>
    <xf numFmtId="0" fontId="25" fillId="6" borderId="16" xfId="0" applyFont="1" applyFill="1" applyBorder="1" applyAlignment="1"/>
    <xf numFmtId="0" fontId="25" fillId="6" borderId="18" xfId="0" applyFont="1" applyFill="1" applyBorder="1" applyAlignment="1"/>
    <xf numFmtId="2" fontId="26" fillId="6" borderId="60" xfId="0" applyNumberFormat="1" applyFont="1" applyFill="1" applyBorder="1" applyAlignment="1"/>
    <xf numFmtId="2" fontId="26" fillId="6" borderId="62" xfId="0" applyNumberFormat="1" applyFont="1" applyFill="1" applyBorder="1" applyAlignment="1"/>
    <xf numFmtId="0" fontId="3" fillId="3" borderId="4" xfId="0" applyFont="1" applyFill="1" applyBorder="1"/>
    <xf numFmtId="0" fontId="3" fillId="3" borderId="75" xfId="0" applyFont="1" applyFill="1" applyBorder="1" applyAlignment="1">
      <alignment horizontal="left" indent="1"/>
    </xf>
    <xf numFmtId="0" fontId="2" fillId="3" borderId="76" xfId="0" applyFont="1" applyFill="1" applyBorder="1"/>
    <xf numFmtId="0" fontId="2" fillId="3" borderId="77" xfId="0" applyFont="1" applyFill="1" applyBorder="1"/>
    <xf numFmtId="164" fontId="3" fillId="3" borderId="76" xfId="0" applyNumberFormat="1" applyFont="1" applyFill="1" applyBorder="1"/>
    <xf numFmtId="164" fontId="3" fillId="3" borderId="78" xfId="0" applyNumberFormat="1" applyFont="1" applyFill="1" applyBorder="1"/>
    <xf numFmtId="9" fontId="2" fillId="3" borderId="0" xfId="0" applyNumberFormat="1" applyFont="1" applyFill="1" applyBorder="1"/>
    <xf numFmtId="0" fontId="2" fillId="3" borderId="2" xfId="0" applyFont="1" applyFill="1" applyBorder="1"/>
    <xf numFmtId="44" fontId="2" fillId="3" borderId="0" xfId="0" applyNumberFormat="1" applyFont="1" applyFill="1" applyBorder="1"/>
    <xf numFmtId="41" fontId="2" fillId="3" borderId="0" xfId="0" applyNumberFormat="1" applyFont="1" applyFill="1" applyBorder="1"/>
    <xf numFmtId="0" fontId="3" fillId="3" borderId="23" xfId="0" applyFont="1" applyFill="1" applyBorder="1" applyAlignment="1"/>
    <xf numFmtId="165" fontId="3" fillId="3" borderId="27" xfId="0" applyNumberFormat="1" applyFont="1" applyFill="1" applyBorder="1"/>
    <xf numFmtId="165" fontId="3" fillId="3" borderId="0" xfId="0" applyNumberFormat="1" applyFont="1" applyFill="1"/>
    <xf numFmtId="0" fontId="3" fillId="3" borderId="18" xfId="0" applyFont="1" applyFill="1" applyBorder="1"/>
    <xf numFmtId="0" fontId="3" fillId="3" borderId="79" xfId="0" applyFont="1" applyFill="1" applyBorder="1"/>
    <xf numFmtId="0" fontId="3" fillId="3" borderId="23" xfId="0" applyFont="1" applyFill="1" applyBorder="1"/>
    <xf numFmtId="41" fontId="3" fillId="3" borderId="27" xfId="0" applyNumberFormat="1" applyFont="1" applyFill="1" applyBorder="1"/>
    <xf numFmtId="180" fontId="3" fillId="3" borderId="0" xfId="0" applyNumberFormat="1" applyFont="1" applyFill="1"/>
    <xf numFmtId="0" fontId="3" fillId="3" borderId="80" xfId="0" applyFont="1" applyFill="1" applyBorder="1" applyAlignment="1">
      <alignment horizontal="left" indent="1"/>
    </xf>
    <xf numFmtId="0" fontId="2" fillId="3" borderId="26" xfId="0" applyFont="1" applyFill="1" applyBorder="1"/>
    <xf numFmtId="0" fontId="2" fillId="3" borderId="81" xfId="0" applyFont="1" applyFill="1" applyBorder="1"/>
    <xf numFmtId="9" fontId="3" fillId="3" borderId="26" xfId="2" applyFont="1" applyFill="1" applyBorder="1"/>
    <xf numFmtId="9" fontId="7" fillId="3" borderId="0" xfId="2" applyFont="1" applyFill="1"/>
    <xf numFmtId="182" fontId="3" fillId="3" borderId="26" xfId="2" applyNumberFormat="1" applyFont="1" applyFill="1" applyBorder="1"/>
    <xf numFmtId="182" fontId="2" fillId="0" borderId="0" xfId="0" applyNumberFormat="1" applyFont="1" applyFill="1"/>
    <xf numFmtId="9" fontId="3" fillId="0" borderId="0" xfId="2" applyFont="1" applyFill="1"/>
    <xf numFmtId="164" fontId="70" fillId="3" borderId="76" xfId="0" applyNumberFormat="1" applyFont="1" applyFill="1" applyBorder="1"/>
    <xf numFmtId="10" fontId="3" fillId="0" borderId="0" xfId="2" applyNumberFormat="1" applyFont="1" applyFill="1"/>
    <xf numFmtId="165" fontId="17" fillId="3" borderId="0" xfId="0" applyNumberFormat="1" applyFont="1" applyFill="1"/>
    <xf numFmtId="183" fontId="70" fillId="0" borderId="0" xfId="1" applyNumberFormat="1" applyFont="1" applyAlignment="1"/>
    <xf numFmtId="43" fontId="0" fillId="0" borderId="0" xfId="0" applyNumberFormat="1" applyFont="1" applyAlignment="1"/>
    <xf numFmtId="0" fontId="30" fillId="4" borderId="6" xfId="0" applyFont="1" applyFill="1" applyBorder="1" applyAlignment="1">
      <alignment horizontal="center"/>
    </xf>
    <xf numFmtId="0" fontId="31" fillId="0" borderId="6" xfId="0" applyFont="1" applyBorder="1"/>
    <xf numFmtId="0" fontId="31" fillId="0" borderId="35" xfId="0" applyFont="1" applyBorder="1"/>
    <xf numFmtId="0" fontId="4" fillId="4" borderId="6" xfId="0" applyFont="1" applyFill="1" applyBorder="1" applyAlignment="1">
      <alignment horizontal="center"/>
    </xf>
    <xf numFmtId="0" fontId="5" fillId="0" borderId="6" xfId="0" applyFont="1" applyBorder="1"/>
    <xf numFmtId="0" fontId="5" fillId="0" borderId="35" xfId="0" applyFont="1" applyBorder="1"/>
    <xf numFmtId="0" fontId="5" fillId="0" borderId="7" xfId="0" applyFont="1" applyBorder="1"/>
    <xf numFmtId="0" fontId="2" fillId="3" borderId="18" xfId="0" applyFont="1" applyFill="1" applyBorder="1" applyAlignment="1">
      <alignment horizontal="left" indent="1"/>
    </xf>
    <xf numFmtId="10" fontId="3" fillId="7" borderId="21" xfId="0" applyNumberFormat="1" applyFont="1" applyFill="1" applyBorder="1"/>
  </cellXfs>
  <cellStyles count="6">
    <cellStyle name="Comma" xfId="1" builtinId="3"/>
    <cellStyle name="Currency" xfId="4" builtinId="4"/>
    <cellStyle name="Normal" xfId="0" builtinId="0"/>
    <cellStyle name="Normal 2" xfId="3"/>
    <cellStyle name="Normal 2 2 2" xfId="5"/>
    <cellStyle name="Percent" xfId="2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75f506e7ad4b45e188eae4841d16ab04">
      <tp t="e">
        <v>#N/A</v>
        <stp/>
        <stp>5bdbfd48-6744-469b-b611-3c375a65002b</stp>
        <tr r="L77" s="18"/>
      </tp>
      <tp t="e">
        <v>#N/A</v>
        <stp/>
        <stp>62526616-32a3-4f30-9aec-1b2904fc0f20</stp>
        <tr r="G14" s="18"/>
      </tp>
      <tp t="e">
        <v>#N/A</v>
        <stp/>
        <stp>6bada26e-4071-4fc0-b4cb-03a34afff176</stp>
        <tr r="L76" s="18"/>
      </tp>
      <tp t="e">
        <v>#N/A</v>
        <stp/>
        <stp>27f1d0af-9cb4-4b0d-8431-f8e15521d39b</stp>
        <tr r="L75" s="5"/>
      </tp>
      <tp t="e">
        <v>#N/A</v>
        <stp/>
        <stp>5afe5690-a3a4-406b-b0fb-adfa3031819b</stp>
        <tr r="D63" s="18"/>
      </tp>
      <tp t="e">
        <v>#N/A</v>
        <stp/>
        <stp>412ceeb9-793d-4ab6-ad94-8e03faa106f0</stp>
        <tr r="E60" s="18"/>
      </tp>
      <tp t="e">
        <v>#N/A</v>
        <stp/>
        <stp>ebb8a268-480c-46d7-aaef-ed3826a99e36</stp>
        <tr r="L70" s="5"/>
      </tp>
      <tp t="e">
        <v>#N/A</v>
        <stp/>
        <stp>23c3103f-17ac-4cdc-aab1-bf0fd11c0fed</stp>
        <tr r="L74" s="5"/>
      </tp>
      <tp t="e">
        <v>#N/A</v>
        <stp/>
        <stp>778418ed-ecf7-4beb-9ce7-1bcee8795807</stp>
        <tr r="L72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VALUATION CHART</a:t>
            </a:r>
          </a:p>
          <a:p>
            <a:pPr>
              <a:defRPr/>
            </a:pP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518482298920344E-2"/>
          <c:y val="0.1526535480023852"/>
          <c:w val="0.91477487958544801"/>
          <c:h val="0.74798712549124557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Dashboard!$B$20:$B$31</c:f>
              <c:strCache>
                <c:ptCount val="12"/>
                <c:pt idx="0">
                  <c:v>  2 S Equity Value Per Share FCFF</c:v>
                </c:pt>
                <c:pt idx="1">
                  <c:v>NPV 3 stage growth model FCFE</c:v>
                </c:pt>
                <c:pt idx="2">
                  <c:v>NPV 3 stage growth model FCFF</c:v>
                </c:pt>
                <c:pt idx="3">
                  <c:v>EBITDA MULTIPLE METHOD FCFF</c:v>
                </c:pt>
                <c:pt idx="4">
                  <c:v>SENSITIVITY TERMINAL VALUE</c:v>
                </c:pt>
                <c:pt idx="5">
                  <c:v>SENSITIVITY EBITDA</c:v>
                </c:pt>
                <c:pt idx="6">
                  <c:v>MONTECARLO RESULTS GEN</c:v>
                </c:pt>
                <c:pt idx="7">
                  <c:v>NET INCOME</c:v>
                </c:pt>
                <c:pt idx="8">
                  <c:v>TERMINAL FCF S ANALYSIS</c:v>
                </c:pt>
                <c:pt idx="9">
                  <c:v>2 stage FCFE</c:v>
                </c:pt>
                <c:pt idx="10">
                  <c:v>FCFE MONTE CARLO</c:v>
                </c:pt>
                <c:pt idx="11">
                  <c:v>FCFF MONTE CARLO</c:v>
                </c:pt>
              </c:strCache>
            </c:strRef>
          </c:cat>
          <c:val>
            <c:numRef>
              <c:f>Dashboard!$C$20:$C$31</c:f>
              <c:numCache>
                <c:formatCode>0.00</c:formatCode>
                <c:ptCount val="12"/>
                <c:pt idx="0">
                  <c:v>6.8870872107676382</c:v>
                </c:pt>
                <c:pt idx="1">
                  <c:v>6.8092892691403515</c:v>
                </c:pt>
                <c:pt idx="2">
                  <c:v>6.5817032383019987</c:v>
                </c:pt>
                <c:pt idx="3">
                  <c:v>3.7506553601096719</c:v>
                </c:pt>
                <c:pt idx="4">
                  <c:v>8.7784972828232579</c:v>
                </c:pt>
                <c:pt idx="5">
                  <c:v>3.9051656787808446</c:v>
                </c:pt>
                <c:pt idx="6">
                  <c:v>7.71</c:v>
                </c:pt>
                <c:pt idx="7">
                  <c:v>10.214458305202726</c:v>
                </c:pt>
                <c:pt idx="8">
                  <c:v>4.2676188013614293</c:v>
                </c:pt>
                <c:pt idx="9">
                  <c:v>7.3062599094989684</c:v>
                </c:pt>
                <c:pt idx="10">
                  <c:v>8.1690000000000005</c:v>
                </c:pt>
                <c:pt idx="11">
                  <c:v>7.2229999999999999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A-4051-B218-3AF778C140A7}"/>
            </c:ext>
          </c:extLst>
        </c:ser>
        <c:ser>
          <c:idx val="1"/>
          <c:order val="1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Dashboard!$B$20:$B$31</c:f>
              <c:strCache>
                <c:ptCount val="12"/>
                <c:pt idx="0">
                  <c:v>  2 S Equity Value Per Share FCFF</c:v>
                </c:pt>
                <c:pt idx="1">
                  <c:v>NPV 3 stage growth model FCFE</c:v>
                </c:pt>
                <c:pt idx="2">
                  <c:v>NPV 3 stage growth model FCFF</c:v>
                </c:pt>
                <c:pt idx="3">
                  <c:v>EBITDA MULTIPLE METHOD FCFF</c:v>
                </c:pt>
                <c:pt idx="4">
                  <c:v>SENSITIVITY TERMINAL VALUE</c:v>
                </c:pt>
                <c:pt idx="5">
                  <c:v>SENSITIVITY EBITDA</c:v>
                </c:pt>
                <c:pt idx="6">
                  <c:v>MONTECARLO RESULTS GEN</c:v>
                </c:pt>
                <c:pt idx="7">
                  <c:v>NET INCOME</c:v>
                </c:pt>
                <c:pt idx="8">
                  <c:v>TERMINAL FCF S ANALYSIS</c:v>
                </c:pt>
                <c:pt idx="9">
                  <c:v>2 stage FCFE</c:v>
                </c:pt>
                <c:pt idx="10">
                  <c:v>FCFE MONTE CARLO</c:v>
                </c:pt>
                <c:pt idx="11">
                  <c:v>FCFF MONTE CARLO</c:v>
                </c:pt>
              </c:strCache>
            </c:strRef>
          </c:cat>
          <c:val>
            <c:numRef>
              <c:f>Dashboard!$D$20:$D$31</c:f>
              <c:numCache>
                <c:formatCode>0.00</c:formatCode>
                <c:ptCount val="12"/>
                <c:pt idx="0">
                  <c:v>8.8349608913364754</c:v>
                </c:pt>
                <c:pt idx="1">
                  <c:v>8.7571629497091887</c:v>
                </c:pt>
                <c:pt idx="2">
                  <c:v>8.5295769188708359</c:v>
                </c:pt>
                <c:pt idx="3">
                  <c:v>5.6985290406785092</c:v>
                </c:pt>
                <c:pt idx="4">
                  <c:v>9.8057587147190244</c:v>
                </c:pt>
                <c:pt idx="5">
                  <c:v>8.037917388400043</c:v>
                </c:pt>
                <c:pt idx="6">
                  <c:v>7.9399999999999995</c:v>
                </c:pt>
                <c:pt idx="7">
                  <c:v>12.162331985771564</c:v>
                </c:pt>
                <c:pt idx="8">
                  <c:v>6.8879882299049076</c:v>
                </c:pt>
                <c:pt idx="9">
                  <c:v>9.2541335900678057</c:v>
                </c:pt>
                <c:pt idx="10">
                  <c:v>8.07</c:v>
                </c:pt>
                <c:pt idx="11">
                  <c:v>7.5038999999999998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A-4051-B218-3AF778C140A7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Dashboard!$B$20:$B$31</c:f>
              <c:strCache>
                <c:ptCount val="12"/>
                <c:pt idx="0">
                  <c:v>  2 S Equity Value Per Share FCFF</c:v>
                </c:pt>
                <c:pt idx="1">
                  <c:v>NPV 3 stage growth model FCFE</c:v>
                </c:pt>
                <c:pt idx="2">
                  <c:v>NPV 3 stage growth model FCFF</c:v>
                </c:pt>
                <c:pt idx="3">
                  <c:v>EBITDA MULTIPLE METHOD FCFF</c:v>
                </c:pt>
                <c:pt idx="4">
                  <c:v>SENSITIVITY TERMINAL VALUE</c:v>
                </c:pt>
                <c:pt idx="5">
                  <c:v>SENSITIVITY EBITDA</c:v>
                </c:pt>
                <c:pt idx="6">
                  <c:v>MONTECARLO RESULTS GEN</c:v>
                </c:pt>
                <c:pt idx="7">
                  <c:v>NET INCOME</c:v>
                </c:pt>
                <c:pt idx="8">
                  <c:v>TERMINAL FCF S ANALYSIS</c:v>
                </c:pt>
                <c:pt idx="9">
                  <c:v>2 stage FCFE</c:v>
                </c:pt>
                <c:pt idx="10">
                  <c:v>FCFE MONTE CARLO</c:v>
                </c:pt>
                <c:pt idx="11">
                  <c:v>FCFF MONTE CARLO</c:v>
                </c:pt>
              </c:strCache>
            </c:strRef>
          </c:cat>
          <c:val>
            <c:numRef>
              <c:f>Dashboard!$E$20:$E$31</c:f>
              <c:numCache>
                <c:formatCode>0.00</c:formatCode>
                <c:ptCount val="12"/>
                <c:pt idx="0">
                  <c:v>10.782834571905312</c:v>
                </c:pt>
                <c:pt idx="1">
                  <c:v>10.705036630278027</c:v>
                </c:pt>
                <c:pt idx="2">
                  <c:v>10.477450599439674</c:v>
                </c:pt>
                <c:pt idx="3">
                  <c:v>7.6464027212473464</c:v>
                </c:pt>
                <c:pt idx="4">
                  <c:v>10.833020146614791</c:v>
                </c:pt>
                <c:pt idx="5">
                  <c:v>12.170669098019243</c:v>
                </c:pt>
                <c:pt idx="6">
                  <c:v>8.17</c:v>
                </c:pt>
                <c:pt idx="7">
                  <c:v>14.110205666340402</c:v>
                </c:pt>
                <c:pt idx="8">
                  <c:v>8.7656638596288268</c:v>
                </c:pt>
                <c:pt idx="9">
                  <c:v>11.202007270636642</c:v>
                </c:pt>
                <c:pt idx="10">
                  <c:v>8.5169999999999995</c:v>
                </c:pt>
                <c:pt idx="11">
                  <c:v>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7A-4051-B218-3AF778C14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8390016"/>
        <c:axId val="648391656"/>
      </c:barChart>
      <c:catAx>
        <c:axId val="64839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91656"/>
        <c:crosses val="autoZero"/>
        <c:auto val="1"/>
        <c:lblAlgn val="ctr"/>
        <c:lblOffset val="100"/>
        <c:noMultiLvlLbl val="0"/>
      </c:catAx>
      <c:valAx>
        <c:axId val="648391656"/>
        <c:scaling>
          <c:orientation val="minMax"/>
          <c:max val="20"/>
        </c:scaling>
        <c:delete val="0"/>
        <c:axPos val="l"/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900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'Scenario Analysis'!$Q$4:$Q$5" fmlaRange="'Scenario Analysis'!$O$8:$O$10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</xdr:colOff>
      <xdr:row>1</xdr:row>
      <xdr:rowOff>5715</xdr:rowOff>
    </xdr:from>
    <xdr:to>
      <xdr:col>24</xdr:col>
      <xdr:colOff>533400</xdr:colOff>
      <xdr:row>35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46</xdr:row>
          <xdr:rowOff>0</xdr:rowOff>
        </xdr:from>
        <xdr:to>
          <xdr:col>5</xdr:col>
          <xdr:colOff>0</xdr:colOff>
          <xdr:row>48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605120</xdr:colOff>
      <xdr:row>7</xdr:row>
      <xdr:rowOff>119227</xdr:rowOff>
    </xdr:from>
    <xdr:to>
      <xdr:col>15</xdr:col>
      <xdr:colOff>829236</xdr:colOff>
      <xdr:row>9</xdr:row>
      <xdr:rowOff>48836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1796" y="1217403"/>
          <a:ext cx="5098675" cy="243374"/>
        </a:xfrm>
        <a:prstGeom prst="rect">
          <a:avLst/>
        </a:prstGeom>
      </xdr:spPr>
    </xdr:pic>
    <xdr:clientData/>
  </xdr:twoCellAnchor>
  <xdr:twoCellAnchor editAs="oneCell">
    <xdr:from>
      <xdr:col>10</xdr:col>
      <xdr:colOff>605118</xdr:colOff>
      <xdr:row>10</xdr:row>
      <xdr:rowOff>78441</xdr:rowOff>
    </xdr:from>
    <xdr:to>
      <xdr:col>15</xdr:col>
      <xdr:colOff>164976</xdr:colOff>
      <xdr:row>11</xdr:row>
      <xdr:rowOff>112059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1794" y="1647265"/>
          <a:ext cx="4434417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10</xdr:col>
      <xdr:colOff>342900</xdr:colOff>
      <xdr:row>23</xdr:row>
      <xdr:rowOff>109853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657225"/>
          <a:ext cx="5819775" cy="3176903"/>
        </a:xfrm>
        <a:prstGeom prst="rect">
          <a:avLst/>
        </a:prstGeom>
      </xdr:spPr>
    </xdr:pic>
    <xdr:clientData/>
  </xdr:twoCellAnchor>
  <xdr:twoCellAnchor editAs="oneCell">
    <xdr:from>
      <xdr:col>13</xdr:col>
      <xdr:colOff>19456</xdr:colOff>
      <xdr:row>4</xdr:row>
      <xdr:rowOff>57151</xdr:rowOff>
    </xdr:from>
    <xdr:to>
      <xdr:col>22</xdr:col>
      <xdr:colOff>264828</xdr:colOff>
      <xdr:row>22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4256" y="704851"/>
          <a:ext cx="5731772" cy="3000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prstDash val="sysDash"/>
        </a:ln>
      </a:spPr>
      <a:bodyPr/>
      <a:lstStyle/>
      <a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7"/>
  </sheetPr>
  <dimension ref="A1:K50"/>
  <sheetViews>
    <sheetView topLeftCell="B16" workbookViewId="0">
      <selection activeCell="H49" sqref="H49"/>
    </sheetView>
  </sheetViews>
  <sheetFormatPr defaultRowHeight="12.75"/>
  <cols>
    <col min="2" max="2" width="30.28515625" customWidth="1"/>
    <col min="3" max="3" width="11.28515625" customWidth="1"/>
  </cols>
  <sheetData>
    <row r="1" spans="1:9">
      <c r="A1" s="87"/>
    </row>
    <row r="2" spans="1:9" ht="18">
      <c r="B2" s="509" t="s">
        <v>276</v>
      </c>
      <c r="C2" s="510"/>
      <c r="D2" s="329"/>
      <c r="E2" s="511" t="s">
        <v>317</v>
      </c>
      <c r="F2" s="88"/>
      <c r="H2" s="87"/>
      <c r="I2" s="87"/>
    </row>
    <row r="3" spans="1:9">
      <c r="A3" s="87"/>
      <c r="B3" s="330"/>
      <c r="C3" s="329"/>
      <c r="D3" s="329"/>
      <c r="E3" s="329"/>
    </row>
    <row r="4" spans="1:9">
      <c r="B4" s="331" t="s">
        <v>266</v>
      </c>
      <c r="C4" s="332">
        <f>DCF!D58</f>
        <v>8.8349608913364754</v>
      </c>
      <c r="D4" s="329"/>
      <c r="E4" s="329"/>
    </row>
    <row r="5" spans="1:9">
      <c r="B5" s="333" t="s">
        <v>264</v>
      </c>
      <c r="C5" s="334">
        <f>DCF!D59</f>
        <v>8.7571629497091887</v>
      </c>
      <c r="D5" s="329"/>
      <c r="E5" s="329"/>
    </row>
    <row r="6" spans="1:9">
      <c r="B6" s="333" t="s">
        <v>265</v>
      </c>
      <c r="C6" s="334">
        <f>DCF!D60</f>
        <v>8.5295769188708359</v>
      </c>
      <c r="D6" s="329"/>
      <c r="E6" s="329"/>
    </row>
    <row r="7" spans="1:9">
      <c r="B7" s="335" t="s">
        <v>277</v>
      </c>
      <c r="C7" s="336">
        <f>DCF!D61</f>
        <v>5.6985290406785092</v>
      </c>
      <c r="D7" s="329"/>
      <c r="E7" s="329"/>
    </row>
    <row r="8" spans="1:9" ht="13.5" thickBot="1">
      <c r="B8" s="329"/>
      <c r="C8" s="329"/>
      <c r="D8" s="329"/>
      <c r="E8" s="329"/>
    </row>
    <row r="9" spans="1:9" ht="13.5" thickBot="1">
      <c r="B9" s="337" t="s">
        <v>272</v>
      </c>
      <c r="C9" s="338">
        <f>AVERAGE(C4:C7)</f>
        <v>7.9550574501487521</v>
      </c>
      <c r="D9" s="329"/>
      <c r="E9" s="329"/>
    </row>
    <row r="10" spans="1:9" ht="13.5" thickBot="1">
      <c r="B10" s="329"/>
      <c r="C10" s="329"/>
      <c r="D10" s="329"/>
      <c r="E10" s="329"/>
    </row>
    <row r="11" spans="1:9" ht="13.5" thickBot="1">
      <c r="B11" s="337" t="s">
        <v>274</v>
      </c>
      <c r="C11" s="338">
        <f>DCF!B78</f>
        <v>11.407589264697023</v>
      </c>
      <c r="D11" s="329"/>
      <c r="E11" s="329"/>
    </row>
    <row r="12" spans="1:9" ht="13.5" thickBot="1">
      <c r="B12" s="337" t="s">
        <v>275</v>
      </c>
      <c r="C12" s="338">
        <f>DCF!B91</f>
        <v>6.8807469097066685</v>
      </c>
      <c r="D12" s="329"/>
      <c r="E12" s="329"/>
    </row>
    <row r="13" spans="1:9">
      <c r="B13" s="329"/>
      <c r="C13" s="329"/>
      <c r="D13" s="329"/>
      <c r="E13" s="329"/>
    </row>
    <row r="14" spans="1:9">
      <c r="A14" s="498" t="s">
        <v>283</v>
      </c>
      <c r="B14" s="339">
        <f>AVERAGE(C4:C7,C11:C12)</f>
        <v>8.3514276624997823</v>
      </c>
      <c r="C14" s="329"/>
      <c r="D14" s="329"/>
      <c r="E14" s="329"/>
    </row>
    <row r="15" spans="1:9">
      <c r="A15" s="498" t="s">
        <v>282</v>
      </c>
      <c r="B15" s="339">
        <f>MEDIAN(C4:C7,C11:C12)</f>
        <v>8.6433699342900123</v>
      </c>
      <c r="C15" s="329"/>
      <c r="D15" s="329"/>
      <c r="E15" s="329"/>
    </row>
    <row r="16" spans="1:9">
      <c r="A16" s="498" t="s">
        <v>281</v>
      </c>
      <c r="B16" s="339">
        <f>_xlfn.STDEV.S(C4:C7,C11:C12)</f>
        <v>1.9478736805688373</v>
      </c>
      <c r="C16" s="329"/>
      <c r="D16" s="329"/>
      <c r="E16" s="329"/>
    </row>
    <row r="17" spans="2:5">
      <c r="B17" s="329"/>
      <c r="C17" s="329"/>
      <c r="D17" s="329"/>
      <c r="E17" s="329"/>
    </row>
    <row r="18" spans="2:5">
      <c r="B18" s="329"/>
      <c r="C18" s="329"/>
      <c r="D18" s="329"/>
      <c r="E18" s="329"/>
    </row>
    <row r="19" spans="2:5">
      <c r="B19" s="540"/>
      <c r="C19" s="541" t="s">
        <v>279</v>
      </c>
      <c r="D19" s="541" t="s">
        <v>278</v>
      </c>
      <c r="E19" s="542" t="s">
        <v>280</v>
      </c>
    </row>
    <row r="20" spans="2:5">
      <c r="B20" s="560" t="s">
        <v>266</v>
      </c>
      <c r="C20" s="562">
        <f>D20-$B$16</f>
        <v>6.8870872107676382</v>
      </c>
      <c r="D20" s="562">
        <f>C4</f>
        <v>8.8349608913364754</v>
      </c>
      <c r="E20" s="562">
        <f>D20+$B$16</f>
        <v>10.782834571905312</v>
      </c>
    </row>
    <row r="21" spans="2:5">
      <c r="B21" s="561" t="s">
        <v>264</v>
      </c>
      <c r="C21" s="563">
        <f t="shared" ref="C21:C23" si="0">D21-$B$16</f>
        <v>6.8092892691403515</v>
      </c>
      <c r="D21" s="563">
        <f t="shared" ref="D21:D23" si="1">C5</f>
        <v>8.7571629497091887</v>
      </c>
      <c r="E21" s="563">
        <f t="shared" ref="E21:E23" si="2">D21+$B$16</f>
        <v>10.705036630278027</v>
      </c>
    </row>
    <row r="22" spans="2:5">
      <c r="B22" s="561" t="s">
        <v>265</v>
      </c>
      <c r="C22" s="563">
        <f t="shared" si="0"/>
        <v>6.5817032383019987</v>
      </c>
      <c r="D22" s="563">
        <f t="shared" si="1"/>
        <v>8.5295769188708359</v>
      </c>
      <c r="E22" s="563">
        <f t="shared" si="2"/>
        <v>10.477450599439674</v>
      </c>
    </row>
    <row r="23" spans="2:5">
      <c r="B23" s="561" t="s">
        <v>277</v>
      </c>
      <c r="C23" s="563">
        <f t="shared" si="0"/>
        <v>3.7506553601096719</v>
      </c>
      <c r="D23" s="563">
        <f t="shared" si="1"/>
        <v>5.6985290406785092</v>
      </c>
      <c r="E23" s="563">
        <f t="shared" si="2"/>
        <v>7.6464027212473464</v>
      </c>
    </row>
    <row r="24" spans="2:5">
      <c r="B24" s="561" t="s">
        <v>274</v>
      </c>
      <c r="C24" s="563">
        <f>DCF!D74</f>
        <v>8.7784972828232579</v>
      </c>
      <c r="D24" s="563">
        <f>MEDIAN(C24,E24)</f>
        <v>9.8057587147190244</v>
      </c>
      <c r="E24" s="563">
        <f>DCF!G78</f>
        <v>10.833020146614791</v>
      </c>
    </row>
    <row r="25" spans="2:5">
      <c r="B25" s="561" t="s">
        <v>275</v>
      </c>
      <c r="C25" s="563">
        <f>DCF!D88</f>
        <v>3.9051656787808446</v>
      </c>
      <c r="D25" s="563">
        <f>MEDIAN(C25,E25)</f>
        <v>8.037917388400043</v>
      </c>
      <c r="E25" s="563">
        <f>DCF!G92</f>
        <v>12.170669098019243</v>
      </c>
    </row>
    <row r="26" spans="2:5">
      <c r="B26" s="561" t="s">
        <v>342</v>
      </c>
      <c r="C26" s="563">
        <f>DCF!S72</f>
        <v>7.71</v>
      </c>
      <c r="D26" s="563">
        <f>MEDIAN(C26,E26)</f>
        <v>7.9399999999999995</v>
      </c>
      <c r="E26" s="563">
        <f>8.17</f>
        <v>8.17</v>
      </c>
    </row>
    <row r="27" spans="2:5">
      <c r="B27" s="561" t="s">
        <v>326</v>
      </c>
      <c r="C27" s="563">
        <f>D27-B16</f>
        <v>10.214458305202726</v>
      </c>
      <c r="D27" s="563">
        <f>DCF!N51</f>
        <v>12.162331985771564</v>
      </c>
      <c r="E27" s="563">
        <f>D27+B16</f>
        <v>14.110205666340402</v>
      </c>
    </row>
    <row r="28" spans="2:5">
      <c r="B28" s="561" t="s">
        <v>328</v>
      </c>
      <c r="C28" s="563">
        <f>DCF!Q92</f>
        <v>4.2676188013614293</v>
      </c>
      <c r="D28" s="563">
        <f>DCF!N90</f>
        <v>6.8879882299049076</v>
      </c>
      <c r="E28" s="563">
        <f>DCF!M88</f>
        <v>8.7656638596288268</v>
      </c>
    </row>
    <row r="29" spans="2:5">
      <c r="B29" s="561" t="s">
        <v>343</v>
      </c>
      <c r="C29" s="563">
        <f>D29-B16</f>
        <v>7.3062599094989684</v>
      </c>
      <c r="D29" s="563">
        <f>DCF!E58</f>
        <v>9.2541335900678057</v>
      </c>
      <c r="E29" s="563">
        <f>D29+B16</f>
        <v>11.202007270636642</v>
      </c>
    </row>
    <row r="30" spans="2:5">
      <c r="B30" s="561" t="s">
        <v>340</v>
      </c>
      <c r="C30" s="563">
        <f>'DCF MONTE CARLO'!M58</f>
        <v>8.1690000000000005</v>
      </c>
      <c r="D30" s="563">
        <f>'DCF MONTE CARLO'!N58</f>
        <v>8.07</v>
      </c>
      <c r="E30" s="563">
        <f>'DCF MONTE CARLO'!O58</f>
        <v>8.5169999999999995</v>
      </c>
    </row>
    <row r="31" spans="2:5">
      <c r="B31" s="561" t="s">
        <v>341</v>
      </c>
      <c r="C31" s="563">
        <f>'DCF MONTE CARLO'!M57</f>
        <v>7.2229999999999999</v>
      </c>
      <c r="D31" s="563">
        <f>'DCF MONTE CARLO'!N57</f>
        <v>7.5038999999999998</v>
      </c>
      <c r="E31" s="563">
        <f>'DCF MONTE CARLO'!O57</f>
        <v>7.71</v>
      </c>
    </row>
    <row r="32" spans="2:5">
      <c r="B32" s="403"/>
      <c r="C32" s="339"/>
      <c r="D32" s="339"/>
      <c r="E32" s="339"/>
    </row>
    <row r="33" spans="2:11">
      <c r="B33" s="512" t="s">
        <v>188</v>
      </c>
      <c r="C33" s="513">
        <f>DCF!F47</f>
        <v>0.10076495222322882</v>
      </c>
      <c r="D33" s="339"/>
      <c r="E33" s="339"/>
    </row>
    <row r="34" spans="2:11">
      <c r="B34" s="508" t="s">
        <v>318</v>
      </c>
      <c r="C34" s="514">
        <v>0.75</v>
      </c>
      <c r="D34" s="339"/>
      <c r="E34" s="339"/>
    </row>
    <row r="35" spans="2:11" ht="13.5" thickBot="1">
      <c r="B35" s="329"/>
      <c r="C35" s="329"/>
      <c r="D35" s="329"/>
      <c r="E35" s="329"/>
    </row>
    <row r="36" spans="2:11" ht="13.5" thickBot="1">
      <c r="B36" s="499" t="s">
        <v>316</v>
      </c>
      <c r="C36" s="500"/>
      <c r="D36" s="515">
        <f>AVERAGE(D20:D27)</f>
        <v>8.7207797361857047</v>
      </c>
      <c r="E36" s="501"/>
    </row>
    <row r="37" spans="2:11">
      <c r="B37" s="88"/>
      <c r="D37" s="96"/>
    </row>
    <row r="38" spans="2:11">
      <c r="B38" s="404" t="s">
        <v>308</v>
      </c>
      <c r="C38" s="305"/>
      <c r="D38" s="305"/>
      <c r="E38" s="305"/>
      <c r="F38" s="305"/>
      <c r="G38" s="405"/>
    </row>
    <row r="39" spans="2:11">
      <c r="B39" s="306"/>
      <c r="C39" s="307"/>
      <c r="D39" s="307"/>
      <c r="E39" s="307"/>
      <c r="F39" s="307"/>
      <c r="G39" s="406"/>
    </row>
    <row r="40" spans="2:11">
      <c r="B40" s="306" t="s">
        <v>18</v>
      </c>
      <c r="C40" s="307"/>
      <c r="D40" s="307"/>
      <c r="E40" s="307" t="s">
        <v>284</v>
      </c>
      <c r="F40" s="307"/>
      <c r="G40" s="407">
        <f>IS!J2</f>
        <v>78344</v>
      </c>
    </row>
    <row r="41" spans="2:11">
      <c r="B41" s="306" t="s">
        <v>285</v>
      </c>
      <c r="C41" s="307"/>
      <c r="D41" s="307"/>
      <c r="E41" s="307" t="s">
        <v>286</v>
      </c>
      <c r="F41" s="307"/>
      <c r="G41" s="413">
        <v>6</v>
      </c>
      <c r="H41" s="424">
        <v>0.5</v>
      </c>
      <c r="I41" s="424">
        <v>0.75</v>
      </c>
      <c r="J41" s="424">
        <v>1.5</v>
      </c>
      <c r="K41" s="424">
        <v>1.7</v>
      </c>
    </row>
    <row r="42" spans="2:11">
      <c r="B42" s="306" t="s">
        <v>287</v>
      </c>
      <c r="C42" s="307"/>
      <c r="D42" s="307"/>
      <c r="E42" s="307"/>
      <c r="F42" s="307"/>
      <c r="G42" s="408">
        <f>DCF!D27</f>
        <v>0.02</v>
      </c>
    </row>
    <row r="43" spans="2:11">
      <c r="B43" s="306" t="s">
        <v>288</v>
      </c>
      <c r="C43" s="307"/>
      <c r="D43" s="307"/>
      <c r="E43" s="307"/>
      <c r="F43" s="307"/>
      <c r="G43" s="325">
        <f>DCF!I63</f>
        <v>8.1725559977610764</v>
      </c>
    </row>
    <row r="44" spans="2:11">
      <c r="B44" s="314" t="s">
        <v>289</v>
      </c>
      <c r="C44" s="315"/>
      <c r="D44" s="315"/>
      <c r="E44" s="315"/>
      <c r="F44" s="315"/>
      <c r="G44" s="409">
        <f>DCF!F46</f>
        <v>0.10076495222322882</v>
      </c>
    </row>
    <row r="46" spans="2:11">
      <c r="G46" s="504" t="s">
        <v>313</v>
      </c>
    </row>
    <row r="47" spans="2:11">
      <c r="B47" s="412" t="s">
        <v>293</v>
      </c>
      <c r="C47" s="418" t="s">
        <v>311</v>
      </c>
      <c r="G47" s="504" t="s">
        <v>314</v>
      </c>
    </row>
    <row r="48" spans="2:11">
      <c r="G48" s="504" t="s">
        <v>315</v>
      </c>
    </row>
    <row r="49" spans="2:3">
      <c r="B49" s="414" t="s">
        <v>310</v>
      </c>
      <c r="C49" s="415">
        <f>D36-G41</f>
        <v>2.7207797361857047</v>
      </c>
    </row>
    <row r="50" spans="2:3">
      <c r="B50" s="416" t="s">
        <v>309</v>
      </c>
      <c r="C50" s="417">
        <f>D36/G41-1</f>
        <v>0.45346328936428404</v>
      </c>
    </row>
  </sheetData>
  <dataValidations count="1">
    <dataValidation type="list" allowBlank="1" showInputMessage="1" showErrorMessage="1" sqref="C34">
      <formula1>$H$41:$K$41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Drop Down 4">
              <controlPr defaultSize="0" autoLine="0" autoPict="0">
                <anchor moveWithCells="1">
                  <from>
                    <xdr:col>3</xdr:col>
                    <xdr:colOff>361950</xdr:colOff>
                    <xdr:row>46</xdr:row>
                    <xdr:rowOff>0</xdr:rowOff>
                  </from>
                  <to>
                    <xdr:col>5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T49"/>
  <sheetViews>
    <sheetView topLeftCell="A10" workbookViewId="0">
      <selection activeCell="J17" sqref="J17"/>
    </sheetView>
  </sheetViews>
  <sheetFormatPr defaultRowHeight="12.75"/>
  <cols>
    <col min="9" max="9" width="11.28515625" customWidth="1"/>
  </cols>
  <sheetData>
    <row r="3" spans="1:20">
      <c r="N3" s="419"/>
      <c r="O3" s="419"/>
      <c r="P3" s="419"/>
      <c r="Q3" s="419"/>
      <c r="R3" s="419"/>
      <c r="S3" s="419"/>
      <c r="T3" s="419"/>
    </row>
    <row r="4" spans="1:20" ht="18">
      <c r="A4" s="425" t="s">
        <v>319</v>
      </c>
      <c r="B4" s="426"/>
      <c r="C4" s="426"/>
      <c r="D4" s="426"/>
      <c r="E4" s="426"/>
      <c r="F4" s="426"/>
      <c r="G4" s="426"/>
      <c r="H4" s="427"/>
      <c r="I4" s="428"/>
      <c r="J4" s="428"/>
      <c r="K4" s="428"/>
      <c r="L4" s="428"/>
      <c r="M4" s="429"/>
      <c r="N4" s="419"/>
      <c r="O4" s="419"/>
      <c r="P4" s="420" t="s">
        <v>301</v>
      </c>
      <c r="Q4" s="419">
        <v>2</v>
      </c>
      <c r="R4" s="421" t="s">
        <v>300</v>
      </c>
      <c r="S4" s="422">
        <f>Dashboard!D36</f>
        <v>8.7207797361857047</v>
      </c>
      <c r="T4" s="419"/>
    </row>
    <row r="5" spans="1:20" ht="18">
      <c r="A5" s="306"/>
      <c r="B5" s="430"/>
      <c r="C5" s="431"/>
      <c r="D5" s="432"/>
      <c r="E5" s="432"/>
      <c r="F5" s="432"/>
      <c r="G5" s="432"/>
      <c r="H5" s="433"/>
      <c r="I5" s="433"/>
      <c r="J5" s="433"/>
      <c r="K5" s="433"/>
      <c r="L5" s="433"/>
      <c r="M5" s="434"/>
      <c r="N5" s="419"/>
      <c r="O5" s="419"/>
      <c r="P5" s="419"/>
      <c r="Q5" s="419"/>
      <c r="R5" s="419"/>
      <c r="S5" s="419"/>
      <c r="T5" s="419"/>
    </row>
    <row r="6" spans="1:20">
      <c r="A6" s="306"/>
      <c r="B6" s="435" t="s">
        <v>290</v>
      </c>
      <c r="C6" s="431"/>
      <c r="D6" s="436"/>
      <c r="E6" s="436"/>
      <c r="F6" s="436"/>
      <c r="G6" s="436"/>
      <c r="H6" s="437"/>
      <c r="I6" s="492">
        <f>DCF!F6</f>
        <v>2024</v>
      </c>
      <c r="J6" s="492">
        <f>DCF!G6</f>
        <v>2025</v>
      </c>
      <c r="K6" s="492">
        <f>DCF!H6</f>
        <v>2026</v>
      </c>
      <c r="L6" s="492">
        <f>DCF!I6</f>
        <v>2027</v>
      </c>
      <c r="M6" s="493">
        <f>DCF!J6</f>
        <v>2028</v>
      </c>
      <c r="N6" s="419"/>
      <c r="O6" s="423" t="s">
        <v>296</v>
      </c>
      <c r="P6" s="419"/>
      <c r="Q6" s="419"/>
      <c r="R6" s="419"/>
      <c r="S6" s="419"/>
      <c r="T6" s="419"/>
    </row>
    <row r="7" spans="1:20" ht="15">
      <c r="A7" s="307"/>
      <c r="B7" s="438"/>
      <c r="C7" s="439"/>
      <c r="D7" s="440"/>
      <c r="E7" s="440"/>
      <c r="F7" s="440"/>
      <c r="G7" s="440"/>
      <c r="H7" s="440"/>
      <c r="I7" s="440"/>
      <c r="J7" s="440"/>
      <c r="K7" s="441"/>
      <c r="L7" s="442"/>
      <c r="M7" s="443"/>
      <c r="N7" s="419"/>
      <c r="O7" s="419"/>
      <c r="P7" s="419"/>
      <c r="Q7" s="419"/>
      <c r="R7" s="419"/>
      <c r="S7" s="419"/>
      <c r="T7" s="419"/>
    </row>
    <row r="8" spans="1:20" ht="16.5" thickBot="1">
      <c r="A8" s="476" t="s">
        <v>291</v>
      </c>
      <c r="B8" s="494"/>
      <c r="C8" s="495"/>
      <c r="D8" s="494"/>
      <c r="E8" s="494"/>
      <c r="F8" s="494"/>
      <c r="G8" s="494"/>
      <c r="H8" s="480"/>
      <c r="I8" s="496"/>
      <c r="J8" s="496"/>
      <c r="K8" s="496"/>
      <c r="L8" s="496"/>
      <c r="M8" s="497"/>
      <c r="N8" s="419"/>
      <c r="O8" s="410">
        <v>1</v>
      </c>
      <c r="P8" s="419"/>
      <c r="Q8" s="419"/>
      <c r="R8" s="419"/>
      <c r="S8" s="419"/>
      <c r="T8" s="419"/>
    </row>
    <row r="9" spans="1:20" ht="16.5" thickTop="1">
      <c r="A9" s="444" t="s">
        <v>294</v>
      </c>
      <c r="B9" s="473"/>
      <c r="C9" s="474"/>
      <c r="D9" s="475"/>
      <c r="E9" s="447"/>
      <c r="F9" s="447"/>
      <c r="G9" s="447"/>
      <c r="H9" s="447"/>
      <c r="I9" s="448">
        <v>-0.05</v>
      </c>
      <c r="J9" s="448">
        <v>-0.05</v>
      </c>
      <c r="K9" s="448">
        <v>-0.05</v>
      </c>
      <c r="L9" s="448">
        <v>-2.5000000000000001E-2</v>
      </c>
      <c r="M9" s="449">
        <v>-2.5000000000000001E-2</v>
      </c>
      <c r="N9" s="419"/>
      <c r="O9" s="411">
        <v>2</v>
      </c>
      <c r="P9" s="419"/>
      <c r="Q9" s="419"/>
      <c r="R9" s="419"/>
      <c r="S9" s="419"/>
      <c r="T9" s="419"/>
    </row>
    <row r="10" spans="1:20" ht="15.75">
      <c r="A10" s="444" t="s">
        <v>304</v>
      </c>
      <c r="B10" s="445"/>
      <c r="C10" s="446"/>
      <c r="D10" s="447"/>
      <c r="E10" s="447"/>
      <c r="F10" s="447"/>
      <c r="G10" s="447"/>
      <c r="H10" s="447"/>
      <c r="I10" s="448">
        <v>0.15</v>
      </c>
      <c r="J10" s="448">
        <v>0.15</v>
      </c>
      <c r="K10" s="448">
        <v>0.2</v>
      </c>
      <c r="L10" s="448">
        <v>0.2</v>
      </c>
      <c r="M10" s="449">
        <v>0.2</v>
      </c>
      <c r="N10" s="419"/>
      <c r="O10" s="411">
        <v>3</v>
      </c>
      <c r="P10" s="419"/>
      <c r="Q10" s="419"/>
      <c r="R10" s="419"/>
      <c r="S10" s="419"/>
      <c r="T10" s="419"/>
    </row>
    <row r="11" spans="1:20" ht="15.75">
      <c r="A11" s="444" t="s">
        <v>298</v>
      </c>
      <c r="B11" s="445"/>
      <c r="C11" s="446"/>
      <c r="D11" s="450"/>
      <c r="E11" s="450"/>
      <c r="F11" s="450"/>
      <c r="G11" s="450"/>
      <c r="H11" s="450"/>
      <c r="I11" s="448">
        <v>0.2</v>
      </c>
      <c r="J11" s="448">
        <v>0.2</v>
      </c>
      <c r="K11" s="448">
        <v>0.2</v>
      </c>
      <c r="L11" s="448">
        <v>0.2</v>
      </c>
      <c r="M11" s="449">
        <v>0.2</v>
      </c>
      <c r="N11" s="419"/>
      <c r="O11" s="419"/>
      <c r="P11" s="419"/>
      <c r="Q11" s="419"/>
      <c r="R11" s="419"/>
      <c r="S11" s="419"/>
      <c r="T11" s="419"/>
    </row>
    <row r="12" spans="1:20" ht="15.75">
      <c r="A12" s="444" t="s">
        <v>305</v>
      </c>
      <c r="B12" s="445"/>
      <c r="C12" s="446"/>
      <c r="D12" s="447"/>
      <c r="E12" s="447"/>
      <c r="F12" s="447"/>
      <c r="G12" s="447"/>
      <c r="H12" s="447"/>
      <c r="I12" s="448">
        <v>0.05</v>
      </c>
      <c r="J12" s="448">
        <v>0.05</v>
      </c>
      <c r="K12" s="448">
        <v>0.05</v>
      </c>
      <c r="L12" s="448">
        <v>0.05</v>
      </c>
      <c r="M12" s="449">
        <v>0.05</v>
      </c>
      <c r="N12" s="502"/>
      <c r="O12" s="419"/>
      <c r="P12" s="419"/>
      <c r="Q12" s="419"/>
      <c r="R12" s="419"/>
      <c r="S12" s="419"/>
      <c r="T12" s="419"/>
    </row>
    <row r="13" spans="1:20" ht="15.75">
      <c r="A13" s="444" t="s">
        <v>306</v>
      </c>
      <c r="B13" s="451"/>
      <c r="C13" s="452"/>
      <c r="D13" s="447"/>
      <c r="E13" s="447"/>
      <c r="F13" s="447"/>
      <c r="G13" s="447"/>
      <c r="H13" s="447"/>
      <c r="I13" s="448">
        <v>0.4</v>
      </c>
      <c r="J13" s="448">
        <v>0.4</v>
      </c>
      <c r="K13" s="448">
        <v>0.3</v>
      </c>
      <c r="L13" s="448">
        <v>0.3</v>
      </c>
      <c r="M13" s="449">
        <v>0.3</v>
      </c>
      <c r="N13" s="419"/>
      <c r="O13" s="419"/>
      <c r="P13" s="419"/>
      <c r="Q13" s="419"/>
      <c r="R13" s="419"/>
      <c r="S13" s="419"/>
      <c r="T13" s="419"/>
    </row>
    <row r="14" spans="1:20" ht="15.75">
      <c r="A14" s="444" t="s">
        <v>307</v>
      </c>
      <c r="B14" s="445"/>
      <c r="C14" s="446"/>
      <c r="D14" s="450"/>
      <c r="E14" s="450"/>
      <c r="F14" s="450"/>
      <c r="G14" s="450"/>
      <c r="H14" s="450"/>
      <c r="I14" s="448">
        <v>0.3</v>
      </c>
      <c r="J14" s="448">
        <v>0.2</v>
      </c>
      <c r="K14" s="448">
        <v>0.15</v>
      </c>
      <c r="L14" s="448">
        <v>0.1</v>
      </c>
      <c r="M14" s="449">
        <v>0.1</v>
      </c>
      <c r="N14" s="419"/>
      <c r="O14" s="419"/>
      <c r="P14" s="419"/>
      <c r="Q14" s="419"/>
      <c r="R14" s="419"/>
      <c r="S14" s="419"/>
      <c r="T14" s="419"/>
    </row>
    <row r="15" spans="1:20" ht="15.75">
      <c r="A15" s="444"/>
      <c r="B15" s="445"/>
      <c r="C15" s="446"/>
      <c r="D15" s="450"/>
      <c r="E15" s="450"/>
      <c r="F15" s="450"/>
      <c r="G15" s="450"/>
      <c r="H15" s="450"/>
      <c r="I15" s="453"/>
      <c r="J15" s="453"/>
      <c r="K15" s="453"/>
      <c r="L15" s="453"/>
      <c r="M15" s="454"/>
      <c r="N15" s="419"/>
      <c r="O15" s="419"/>
      <c r="P15" s="419"/>
      <c r="Q15" s="419"/>
      <c r="R15" s="419"/>
      <c r="S15" s="419"/>
      <c r="T15" s="419"/>
    </row>
    <row r="16" spans="1:20" ht="15.75">
      <c r="A16" s="444"/>
      <c r="B16" s="445"/>
      <c r="C16" s="446"/>
      <c r="D16" s="450"/>
      <c r="E16" s="450"/>
      <c r="F16" s="450"/>
      <c r="G16" s="450"/>
      <c r="H16" s="450"/>
      <c r="I16" s="453"/>
      <c r="J16" s="453"/>
      <c r="K16" s="453"/>
      <c r="L16" s="453"/>
      <c r="M16" s="454"/>
      <c r="N16" s="419"/>
      <c r="O16" s="419"/>
      <c r="P16" s="419"/>
      <c r="Q16" s="419"/>
      <c r="R16" s="419"/>
      <c r="S16" s="419"/>
      <c r="T16" s="419"/>
    </row>
    <row r="17" spans="1:20" ht="16.5" thickBot="1">
      <c r="A17" s="476" t="s">
        <v>303</v>
      </c>
      <c r="B17" s="477"/>
      <c r="C17" s="478"/>
      <c r="D17" s="477"/>
      <c r="E17" s="479" t="s">
        <v>312</v>
      </c>
      <c r="F17" s="477"/>
      <c r="G17" s="477"/>
      <c r="H17" s="480"/>
      <c r="I17" s="481"/>
      <c r="J17" s="481"/>
      <c r="K17" s="481"/>
      <c r="L17" s="481"/>
      <c r="M17" s="482"/>
      <c r="N17" s="419"/>
      <c r="O17" s="419"/>
      <c r="P17" s="419"/>
      <c r="Q17" s="419"/>
      <c r="R17" s="419"/>
      <c r="S17" s="419"/>
      <c r="T17" s="419"/>
    </row>
    <row r="18" spans="1:20" ht="16.5" thickTop="1">
      <c r="A18" s="444" t="s">
        <v>294</v>
      </c>
      <c r="B18" s="473"/>
      <c r="C18" s="474"/>
      <c r="D18" s="475"/>
      <c r="E18" s="447"/>
      <c r="F18" s="447"/>
      <c r="G18" s="447"/>
      <c r="H18" s="447"/>
      <c r="I18" s="448">
        <v>0</v>
      </c>
      <c r="J18" s="448">
        <v>0</v>
      </c>
      <c r="K18" s="448">
        <v>0</v>
      </c>
      <c r="L18" s="448">
        <v>0</v>
      </c>
      <c r="M18" s="449">
        <v>0</v>
      </c>
      <c r="N18" s="419"/>
      <c r="O18" s="503"/>
      <c r="P18" s="419"/>
      <c r="Q18" s="419"/>
      <c r="R18" s="419"/>
      <c r="S18" s="419"/>
      <c r="T18" s="419"/>
    </row>
    <row r="19" spans="1:20" ht="15.75">
      <c r="A19" s="444" t="s">
        <v>304</v>
      </c>
      <c r="B19" s="445"/>
      <c r="C19" s="446"/>
      <c r="D19" s="447"/>
      <c r="E19" s="447"/>
      <c r="F19" s="447"/>
      <c r="G19" s="447"/>
      <c r="H19" s="447"/>
      <c r="I19" s="448">
        <v>0.1</v>
      </c>
      <c r="J19" s="448">
        <v>0.1</v>
      </c>
      <c r="K19" s="448">
        <v>0.15</v>
      </c>
      <c r="L19" s="448">
        <v>0.2</v>
      </c>
      <c r="M19" s="449">
        <v>0.2</v>
      </c>
      <c r="N19" s="419"/>
      <c r="O19" s="419"/>
      <c r="P19" s="419"/>
      <c r="Q19" s="419"/>
      <c r="R19" s="419"/>
      <c r="S19" s="419"/>
      <c r="T19" s="419"/>
    </row>
    <row r="20" spans="1:20" ht="15.75">
      <c r="A20" s="444" t="s">
        <v>298</v>
      </c>
      <c r="B20" s="445"/>
      <c r="C20" s="446"/>
      <c r="D20" s="450"/>
      <c r="E20" s="450"/>
      <c r="F20" s="450"/>
      <c r="G20" s="450"/>
      <c r="H20" s="450"/>
      <c r="I20" s="448">
        <v>0.15</v>
      </c>
      <c r="J20" s="448">
        <v>0.15</v>
      </c>
      <c r="K20" s="448">
        <v>0.15</v>
      </c>
      <c r="L20" s="448">
        <v>0.15</v>
      </c>
      <c r="M20" s="449">
        <v>0.15</v>
      </c>
      <c r="N20" s="419"/>
      <c r="O20" s="419"/>
      <c r="P20" s="419"/>
      <c r="Q20" s="419"/>
      <c r="R20" s="419"/>
      <c r="S20" s="419"/>
      <c r="T20" s="419"/>
    </row>
    <row r="21" spans="1:20" ht="15.75">
      <c r="A21" s="444" t="s">
        <v>305</v>
      </c>
      <c r="B21" s="445"/>
      <c r="C21" s="446"/>
      <c r="D21" s="447"/>
      <c r="E21" s="447"/>
      <c r="F21" s="447"/>
      <c r="G21" s="447"/>
      <c r="H21" s="447"/>
      <c r="I21" s="448">
        <v>0.2</v>
      </c>
      <c r="J21" s="448">
        <v>0.2</v>
      </c>
      <c r="K21" s="448">
        <v>0.2</v>
      </c>
      <c r="L21" s="448">
        <v>0.2</v>
      </c>
      <c r="M21" s="449">
        <v>0.2</v>
      </c>
      <c r="N21" s="419"/>
      <c r="O21" s="419"/>
      <c r="P21" s="419"/>
      <c r="Q21" s="419"/>
      <c r="R21" s="419"/>
      <c r="S21" s="419"/>
      <c r="T21" s="419"/>
    </row>
    <row r="22" spans="1:20" ht="15.75">
      <c r="A22" s="444" t="s">
        <v>306</v>
      </c>
      <c r="B22" s="451"/>
      <c r="C22" s="452"/>
      <c r="D22" s="447"/>
      <c r="E22" s="447"/>
      <c r="F22" s="447"/>
      <c r="G22" s="447"/>
      <c r="H22" s="447"/>
      <c r="I22" s="448">
        <v>0.15</v>
      </c>
      <c r="J22" s="448">
        <v>0.2</v>
      </c>
      <c r="K22" s="448">
        <v>0.2</v>
      </c>
      <c r="L22" s="448">
        <v>0.2</v>
      </c>
      <c r="M22" s="449">
        <v>0.2</v>
      </c>
      <c r="N22" s="419"/>
      <c r="O22" s="419"/>
      <c r="P22" s="419"/>
      <c r="Q22" s="419"/>
      <c r="R22" s="419"/>
      <c r="S22" s="419"/>
      <c r="T22" s="419"/>
    </row>
    <row r="23" spans="1:20" ht="15.75">
      <c r="A23" s="444" t="s">
        <v>307</v>
      </c>
      <c r="B23" s="445"/>
      <c r="C23" s="446"/>
      <c r="D23" s="450"/>
      <c r="E23" s="450"/>
      <c r="F23" s="450"/>
      <c r="G23" s="450"/>
      <c r="H23" s="450"/>
      <c r="I23" s="448">
        <v>0.15</v>
      </c>
      <c r="J23" s="448">
        <v>0.15</v>
      </c>
      <c r="K23" s="448">
        <v>0.1</v>
      </c>
      <c r="L23" s="448">
        <v>0.1</v>
      </c>
      <c r="M23" s="449">
        <v>0.05</v>
      </c>
      <c r="N23" s="419"/>
      <c r="O23" s="419"/>
      <c r="P23" s="419"/>
      <c r="Q23" s="419"/>
      <c r="R23" s="419"/>
      <c r="S23" s="419"/>
      <c r="T23" s="419"/>
    </row>
    <row r="24" spans="1:20" ht="15.75">
      <c r="A24" s="444"/>
      <c r="B24" s="451"/>
      <c r="C24" s="452"/>
      <c r="D24" s="447"/>
      <c r="E24" s="447"/>
      <c r="F24" s="447"/>
      <c r="G24" s="447"/>
      <c r="H24" s="447"/>
      <c r="I24" s="448"/>
      <c r="J24" s="448"/>
      <c r="K24" s="448"/>
      <c r="L24" s="448"/>
      <c r="M24" s="449"/>
    </row>
    <row r="25" spans="1:20" ht="15.75">
      <c r="A25" s="444"/>
      <c r="B25" s="445"/>
      <c r="C25" s="446"/>
      <c r="D25" s="450"/>
      <c r="E25" s="450"/>
      <c r="F25" s="450"/>
      <c r="G25" s="450"/>
      <c r="H25" s="450"/>
      <c r="I25" s="453"/>
      <c r="J25" s="453"/>
      <c r="K25" s="453"/>
      <c r="L25" s="453"/>
      <c r="M25" s="454"/>
    </row>
    <row r="26" spans="1:20" ht="16.5" thickBot="1">
      <c r="A26" s="476" t="s">
        <v>295</v>
      </c>
      <c r="B26" s="477"/>
      <c r="C26" s="478"/>
      <c r="D26" s="477"/>
      <c r="E26" s="477"/>
      <c r="F26" s="477"/>
      <c r="G26" s="477"/>
      <c r="H26" s="480"/>
      <c r="I26" s="481"/>
      <c r="J26" s="481"/>
      <c r="K26" s="481"/>
      <c r="L26" s="481"/>
      <c r="M26" s="482"/>
    </row>
    <row r="27" spans="1:20" ht="16.5" thickTop="1">
      <c r="A27" s="444" t="s">
        <v>294</v>
      </c>
      <c r="B27" s="473"/>
      <c r="C27" s="474"/>
      <c r="D27" s="475"/>
      <c r="E27" s="447"/>
      <c r="F27" s="447"/>
      <c r="G27" s="447"/>
      <c r="H27" s="447"/>
      <c r="I27" s="448">
        <v>0.05</v>
      </c>
      <c r="J27" s="448">
        <v>0.05</v>
      </c>
      <c r="K27" s="448">
        <v>0.05</v>
      </c>
      <c r="L27" s="448">
        <v>0.05</v>
      </c>
      <c r="M27" s="449">
        <v>0.05</v>
      </c>
    </row>
    <row r="28" spans="1:20" ht="15.75">
      <c r="A28" s="444" t="s">
        <v>304</v>
      </c>
      <c r="B28" s="445"/>
      <c r="C28" s="446"/>
      <c r="D28" s="447"/>
      <c r="E28" s="447"/>
      <c r="F28" s="447"/>
      <c r="G28" s="447"/>
      <c r="H28" s="447"/>
      <c r="I28" s="448">
        <v>7.4999999999999997E-2</v>
      </c>
      <c r="J28" s="448">
        <v>7.4999999999999997E-2</v>
      </c>
      <c r="K28" s="448">
        <v>7.4999999999999997E-2</v>
      </c>
      <c r="L28" s="448">
        <v>7.4999999999999997E-2</v>
      </c>
      <c r="M28" s="449">
        <v>7.4999999999999997E-2</v>
      </c>
    </row>
    <row r="29" spans="1:20" ht="15.75">
      <c r="A29" s="444" t="s">
        <v>298</v>
      </c>
      <c r="B29" s="445"/>
      <c r="C29" s="446"/>
      <c r="D29" s="450"/>
      <c r="E29" s="450"/>
      <c r="F29" s="450"/>
      <c r="G29" s="450"/>
      <c r="H29" s="450"/>
      <c r="I29" s="448">
        <v>0.1</v>
      </c>
      <c r="J29" s="448">
        <v>0.1</v>
      </c>
      <c r="K29" s="448">
        <v>0.1</v>
      </c>
      <c r="L29" s="448">
        <v>0.1</v>
      </c>
      <c r="M29" s="449">
        <v>0.1</v>
      </c>
    </row>
    <row r="30" spans="1:20" ht="15.75">
      <c r="A30" s="444" t="s">
        <v>305</v>
      </c>
      <c r="B30" s="445"/>
      <c r="C30" s="446"/>
      <c r="D30" s="447"/>
      <c r="E30" s="447"/>
      <c r="F30" s="447"/>
      <c r="G30" s="447"/>
      <c r="H30" s="447"/>
      <c r="I30" s="448">
        <v>0.3</v>
      </c>
      <c r="J30" s="448">
        <v>0.3</v>
      </c>
      <c r="K30" s="448">
        <v>0.3</v>
      </c>
      <c r="L30" s="448">
        <v>0.3</v>
      </c>
      <c r="M30" s="449">
        <v>0.3</v>
      </c>
    </row>
    <row r="31" spans="1:20" ht="15.75">
      <c r="A31" s="444" t="s">
        <v>306</v>
      </c>
      <c r="B31" s="451"/>
      <c r="C31" s="452"/>
      <c r="D31" s="447"/>
      <c r="E31" s="447"/>
      <c r="F31" s="447"/>
      <c r="G31" s="447"/>
      <c r="H31" s="447"/>
      <c r="I31" s="448">
        <v>0.1</v>
      </c>
      <c r="J31" s="448">
        <v>0.1</v>
      </c>
      <c r="K31" s="448">
        <v>0.1</v>
      </c>
      <c r="L31" s="448">
        <v>0.1</v>
      </c>
      <c r="M31" s="449">
        <v>0.1</v>
      </c>
    </row>
    <row r="32" spans="1:20" ht="15.75">
      <c r="A32" s="444" t="s">
        <v>307</v>
      </c>
      <c r="B32" s="445"/>
      <c r="C32" s="446"/>
      <c r="D32" s="450"/>
      <c r="E32" s="450"/>
      <c r="F32" s="450"/>
      <c r="G32" s="450"/>
      <c r="H32" s="450"/>
      <c r="I32" s="448">
        <v>0.15</v>
      </c>
      <c r="J32" s="448">
        <v>0.1</v>
      </c>
      <c r="K32" s="448">
        <v>0.1</v>
      </c>
      <c r="L32" s="448">
        <v>0.05</v>
      </c>
      <c r="M32" s="449">
        <v>0.05</v>
      </c>
    </row>
    <row r="33" spans="1:13" ht="15.75">
      <c r="A33" s="444"/>
      <c r="B33" s="451"/>
      <c r="C33" s="452"/>
      <c r="D33" s="447"/>
      <c r="E33" s="447"/>
      <c r="F33" s="447"/>
      <c r="G33" s="447"/>
      <c r="H33" s="447"/>
      <c r="I33" s="448"/>
      <c r="J33" s="448"/>
      <c r="K33" s="448"/>
      <c r="L33" s="448"/>
      <c r="M33" s="449"/>
    </row>
    <row r="34" spans="1:13" ht="18">
      <c r="A34" s="306"/>
      <c r="B34" s="455"/>
      <c r="C34" s="431"/>
      <c r="D34" s="436"/>
      <c r="E34" s="436"/>
      <c r="F34" s="436"/>
      <c r="G34" s="436"/>
      <c r="H34" s="436"/>
      <c r="I34" s="436"/>
      <c r="J34" s="436"/>
      <c r="K34" s="456"/>
      <c r="L34" s="456"/>
      <c r="M34" s="457"/>
    </row>
    <row r="35" spans="1:13">
      <c r="A35" s="306"/>
      <c r="B35" s="440"/>
      <c r="C35" s="440"/>
      <c r="D35" s="440"/>
      <c r="E35" s="440"/>
      <c r="F35" s="440"/>
      <c r="G35" s="440"/>
      <c r="H35" s="440"/>
      <c r="I35" s="440"/>
      <c r="J35" s="458"/>
      <c r="K35" s="458"/>
      <c r="L35" s="458"/>
      <c r="M35" s="459"/>
    </row>
    <row r="36" spans="1:13">
      <c r="A36" s="306"/>
      <c r="B36" s="460"/>
      <c r="C36" s="461"/>
      <c r="D36" s="461"/>
      <c r="E36" s="461"/>
      <c r="F36" s="461"/>
      <c r="G36" s="461"/>
      <c r="H36" s="461"/>
      <c r="I36" s="462"/>
      <c r="J36" s="463"/>
      <c r="K36" s="463"/>
      <c r="L36" s="463"/>
      <c r="M36" s="464"/>
    </row>
    <row r="37" spans="1:13">
      <c r="A37" s="314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299"/>
    </row>
    <row r="38" spans="1:13">
      <c r="A38" s="303"/>
      <c r="B38" s="305"/>
      <c r="C38" s="305"/>
      <c r="D38" s="305"/>
      <c r="E38" s="305"/>
      <c r="F38" s="305"/>
      <c r="G38" s="305"/>
      <c r="H38" s="305"/>
      <c r="I38" s="305"/>
      <c r="J38" s="305"/>
      <c r="K38" s="305"/>
      <c r="L38" s="305"/>
      <c r="M38" s="293"/>
    </row>
    <row r="39" spans="1:13">
      <c r="A39" s="306"/>
      <c r="B39" s="307"/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295"/>
    </row>
    <row r="40" spans="1:13" ht="15.75">
      <c r="A40" s="485" t="s">
        <v>297</v>
      </c>
      <c r="B40" s="486" t="s">
        <v>299</v>
      </c>
      <c r="C40" s="487"/>
      <c r="D40" s="488"/>
      <c r="E40" s="488"/>
      <c r="F40" s="488"/>
      <c r="G40" s="488"/>
      <c r="H40" s="489"/>
      <c r="I40" s="490"/>
      <c r="J40" s="490"/>
      <c r="K40" s="490"/>
      <c r="L40" s="490"/>
      <c r="M40" s="491"/>
    </row>
    <row r="41" spans="1:13" ht="15.75">
      <c r="A41" s="444" t="s">
        <v>294</v>
      </c>
      <c r="B41" s="465"/>
      <c r="C41" s="484"/>
      <c r="D41" s="465"/>
      <c r="E41" s="468"/>
      <c r="F41" s="468"/>
      <c r="G41" s="468"/>
      <c r="H41" s="468"/>
      <c r="I41" s="468">
        <f>CHOOSE($Q$4,I9,I18,I27)</f>
        <v>0</v>
      </c>
      <c r="J41" s="468">
        <f t="shared" ref="J41:M41" si="0">CHOOSE($Q$4,J9,J18,J27)</f>
        <v>0</v>
      </c>
      <c r="K41" s="468">
        <f t="shared" si="0"/>
        <v>0</v>
      </c>
      <c r="L41" s="468">
        <f t="shared" si="0"/>
        <v>0</v>
      </c>
      <c r="M41" s="483">
        <f t="shared" si="0"/>
        <v>0</v>
      </c>
    </row>
    <row r="42" spans="1:13" ht="15.75">
      <c r="A42" s="444" t="s">
        <v>304</v>
      </c>
      <c r="B42" s="467"/>
      <c r="C42" s="466"/>
      <c r="D42" s="468"/>
      <c r="E42" s="468"/>
      <c r="F42" s="468"/>
      <c r="G42" s="468"/>
      <c r="H42" s="468"/>
      <c r="I42" s="468">
        <f t="shared" ref="I42:M42" si="1">CHOOSE($Q$4,I10,I19,I28)</f>
        <v>0.1</v>
      </c>
      <c r="J42" s="468">
        <f t="shared" si="1"/>
        <v>0.1</v>
      </c>
      <c r="K42" s="468">
        <f t="shared" si="1"/>
        <v>0.15</v>
      </c>
      <c r="L42" s="468">
        <f t="shared" si="1"/>
        <v>0.2</v>
      </c>
      <c r="M42" s="483">
        <f t="shared" si="1"/>
        <v>0.2</v>
      </c>
    </row>
    <row r="43" spans="1:13" ht="15.75">
      <c r="A43" s="444" t="s">
        <v>298</v>
      </c>
      <c r="B43" s="467"/>
      <c r="C43" s="466"/>
      <c r="D43" s="467"/>
      <c r="E43" s="467"/>
      <c r="F43" s="467"/>
      <c r="G43" s="467"/>
      <c r="H43" s="467"/>
      <c r="I43" s="468">
        <f t="shared" ref="I43:M43" si="2">CHOOSE($Q$4,I11,I20,I29)</f>
        <v>0.15</v>
      </c>
      <c r="J43" s="468">
        <f t="shared" si="2"/>
        <v>0.15</v>
      </c>
      <c r="K43" s="468">
        <f t="shared" si="2"/>
        <v>0.15</v>
      </c>
      <c r="L43" s="468">
        <f t="shared" si="2"/>
        <v>0.15</v>
      </c>
      <c r="M43" s="483">
        <f t="shared" si="2"/>
        <v>0.15</v>
      </c>
    </row>
    <row r="44" spans="1:13" ht="15.75">
      <c r="A44" s="444" t="s">
        <v>305</v>
      </c>
      <c r="B44" s="467"/>
      <c r="C44" s="466"/>
      <c r="D44" s="468"/>
      <c r="E44" s="468"/>
      <c r="F44" s="468"/>
      <c r="G44" s="468"/>
      <c r="H44" s="468"/>
      <c r="I44" s="468">
        <f t="shared" ref="I44:M44" si="3">CHOOSE($Q$4,I12,I21,I30)</f>
        <v>0.2</v>
      </c>
      <c r="J44" s="468">
        <f t="shared" si="3"/>
        <v>0.2</v>
      </c>
      <c r="K44" s="468">
        <f t="shared" si="3"/>
        <v>0.2</v>
      </c>
      <c r="L44" s="468">
        <f t="shared" si="3"/>
        <v>0.2</v>
      </c>
      <c r="M44" s="483">
        <f t="shared" si="3"/>
        <v>0.2</v>
      </c>
    </row>
    <row r="45" spans="1:13" ht="15.75">
      <c r="A45" s="444" t="s">
        <v>306</v>
      </c>
      <c r="B45" s="469"/>
      <c r="C45" s="470"/>
      <c r="D45" s="468"/>
      <c r="E45" s="468"/>
      <c r="F45" s="468"/>
      <c r="G45" s="468"/>
      <c r="H45" s="468"/>
      <c r="I45" s="468">
        <f t="shared" ref="I45:M46" si="4">CHOOSE($Q$4,I13,I22,I31)</f>
        <v>0.15</v>
      </c>
      <c r="J45" s="468">
        <f t="shared" si="4"/>
        <v>0.2</v>
      </c>
      <c r="K45" s="468">
        <f t="shared" si="4"/>
        <v>0.2</v>
      </c>
      <c r="L45" s="468">
        <f t="shared" si="4"/>
        <v>0.2</v>
      </c>
      <c r="M45" s="483">
        <f t="shared" si="4"/>
        <v>0.2</v>
      </c>
    </row>
    <row r="46" spans="1:13" ht="15.75">
      <c r="A46" s="444" t="s">
        <v>307</v>
      </c>
      <c r="B46" s="467"/>
      <c r="C46" s="466"/>
      <c r="D46" s="467"/>
      <c r="E46" s="467"/>
      <c r="F46" s="467"/>
      <c r="G46" s="467"/>
      <c r="H46" s="467"/>
      <c r="I46" s="471">
        <f t="shared" si="4"/>
        <v>0.15</v>
      </c>
      <c r="J46" s="471">
        <f t="shared" si="4"/>
        <v>0.15</v>
      </c>
      <c r="K46" s="471">
        <f t="shared" si="4"/>
        <v>0.1</v>
      </c>
      <c r="L46" s="471">
        <f t="shared" si="4"/>
        <v>0.1</v>
      </c>
      <c r="M46" s="472">
        <f t="shared" si="4"/>
        <v>0.05</v>
      </c>
    </row>
    <row r="47" spans="1:13" ht="15.75">
      <c r="A47" s="444"/>
      <c r="B47" s="451"/>
      <c r="C47" s="452"/>
      <c r="D47" s="447"/>
      <c r="E47" s="447"/>
      <c r="F47" s="447"/>
      <c r="G47" s="447"/>
      <c r="H47" s="447"/>
      <c r="I47" s="448"/>
      <c r="J47" s="448"/>
      <c r="K47" s="448"/>
      <c r="L47" s="448"/>
      <c r="M47" s="449"/>
    </row>
    <row r="48" spans="1:13">
      <c r="A48" s="306"/>
      <c r="B48" s="307"/>
      <c r="C48" s="307"/>
      <c r="D48" s="307"/>
      <c r="E48" s="307"/>
      <c r="F48" s="307"/>
      <c r="G48" s="307"/>
      <c r="H48" s="307"/>
      <c r="I48" s="307"/>
      <c r="J48" s="307"/>
      <c r="K48" s="307"/>
      <c r="L48" s="307"/>
      <c r="M48" s="295"/>
    </row>
    <row r="49" spans="1:13">
      <c r="A49" s="314"/>
      <c r="B49" s="315"/>
      <c r="C49" s="315"/>
      <c r="D49" s="315"/>
      <c r="E49" s="315"/>
      <c r="F49" s="315"/>
      <c r="G49" s="315"/>
      <c r="H49" s="315"/>
      <c r="I49" s="315"/>
      <c r="J49" s="315"/>
      <c r="K49" s="315"/>
      <c r="L49" s="315"/>
      <c r="M49" s="299"/>
    </row>
  </sheetData>
  <conditionalFormatting sqref="I7:M8 I26:M26 J35:M35 O9:O10 I9:L9 I24:L25 I10:M10 I15:L17 I12:M13">
    <cfRule type="containsText" dxfId="33" priority="47" operator="containsText" text="OK">
      <formula>NOT(ISERROR(SEARCH("OK",I7)))</formula>
    </cfRule>
    <cfRule type="containsText" dxfId="32" priority="48" operator="containsText" text="ERROR">
      <formula>NOT(ISERROR(SEARCH("ERROR",I7)))</formula>
    </cfRule>
  </conditionalFormatting>
  <conditionalFormatting sqref="I36:M36">
    <cfRule type="containsText" dxfId="31" priority="35" operator="containsText" text="OK">
      <formula>NOT(ISERROR(SEARCH("OK",I36)))</formula>
    </cfRule>
    <cfRule type="containsText" dxfId="30" priority="36" operator="containsText" text="ERROR">
      <formula>NOT(ISERROR(SEARCH("ERROR",I36)))</formula>
    </cfRule>
  </conditionalFormatting>
  <conditionalFormatting sqref="I36:L36">
    <cfRule type="containsText" dxfId="29" priority="33" operator="containsText" text="OK">
      <formula>NOT(ISERROR(SEARCH("OK",I36)))</formula>
    </cfRule>
    <cfRule type="containsText" dxfId="28" priority="34" operator="containsText" text="ERROR">
      <formula>NOT(ISERROR(SEARCH("ERROR",I36)))</formula>
    </cfRule>
  </conditionalFormatting>
  <conditionalFormatting sqref="I33:L33">
    <cfRule type="containsText" dxfId="27" priority="39" operator="containsText" text="OK">
      <formula>NOT(ISERROR(SEARCH("OK",I33)))</formula>
    </cfRule>
    <cfRule type="containsText" dxfId="26" priority="40" operator="containsText" text="ERROR">
      <formula>NOT(ISERROR(SEARCH("ERROR",I33)))</formula>
    </cfRule>
  </conditionalFormatting>
  <conditionalFormatting sqref="I40:M40">
    <cfRule type="containsText" dxfId="25" priority="31" operator="containsText" text="OK">
      <formula>NOT(ISERROR(SEARCH("OK",I40)))</formula>
    </cfRule>
    <cfRule type="containsText" dxfId="24" priority="32" operator="containsText" text="ERROR">
      <formula>NOT(ISERROR(SEARCH("ERROR",I40)))</formula>
    </cfRule>
  </conditionalFormatting>
  <conditionalFormatting sqref="I47:L47">
    <cfRule type="containsText" dxfId="23" priority="25" operator="containsText" text="OK">
      <formula>NOT(ISERROR(SEARCH("OK",I47)))</formula>
    </cfRule>
    <cfRule type="containsText" dxfId="22" priority="26" operator="containsText" text="ERROR">
      <formula>NOT(ISERROR(SEARCH("ERROR",I47)))</formula>
    </cfRule>
  </conditionalFormatting>
  <conditionalFormatting sqref="N12 I11:M11">
    <cfRule type="containsText" dxfId="21" priority="21" operator="containsText" text="OK">
      <formula>NOT(ISERROR(SEARCH("OK",I11)))</formula>
    </cfRule>
    <cfRule type="containsText" dxfId="20" priority="22" operator="containsText" text="ERROR">
      <formula>NOT(ISERROR(SEARCH("ERROR",I11)))</formula>
    </cfRule>
  </conditionalFormatting>
  <conditionalFormatting sqref="I18:L18 I19:M19 I21:M22">
    <cfRule type="containsText" dxfId="19" priority="19" operator="containsText" text="OK">
      <formula>NOT(ISERROR(SEARCH("OK",I18)))</formula>
    </cfRule>
    <cfRule type="containsText" dxfId="18" priority="20" operator="containsText" text="ERROR">
      <formula>NOT(ISERROR(SEARCH("ERROR",I18)))</formula>
    </cfRule>
  </conditionalFormatting>
  <conditionalFormatting sqref="I20:M20">
    <cfRule type="containsText" dxfId="17" priority="17" operator="containsText" text="OK">
      <formula>NOT(ISERROR(SEARCH("OK",I20)))</formula>
    </cfRule>
    <cfRule type="containsText" dxfId="16" priority="18" operator="containsText" text="ERROR">
      <formula>NOT(ISERROR(SEARCH("ERROR",I20)))</formula>
    </cfRule>
  </conditionalFormatting>
  <conditionalFormatting sqref="I27:L27 I28:M28 I30:M31">
    <cfRule type="containsText" dxfId="15" priority="15" operator="containsText" text="OK">
      <formula>NOT(ISERROR(SEARCH("OK",I27)))</formula>
    </cfRule>
    <cfRule type="containsText" dxfId="14" priority="16" operator="containsText" text="ERROR">
      <formula>NOT(ISERROR(SEARCH("ERROR",I27)))</formula>
    </cfRule>
  </conditionalFormatting>
  <conditionalFormatting sqref="I29:M29">
    <cfRule type="containsText" dxfId="13" priority="13" operator="containsText" text="OK">
      <formula>NOT(ISERROR(SEARCH("OK",I29)))</formula>
    </cfRule>
    <cfRule type="containsText" dxfId="12" priority="14" operator="containsText" text="ERROR">
      <formula>NOT(ISERROR(SEARCH("ERROR",I29)))</formula>
    </cfRule>
  </conditionalFormatting>
  <conditionalFormatting sqref="I41:M45">
    <cfRule type="containsText" dxfId="11" priority="11" operator="containsText" text="OK">
      <formula>NOT(ISERROR(SEARCH("OK",I41)))</formula>
    </cfRule>
    <cfRule type="containsText" dxfId="10" priority="12" operator="containsText" text="ERROR">
      <formula>NOT(ISERROR(SEARCH("ERROR",I41)))</formula>
    </cfRule>
  </conditionalFormatting>
  <conditionalFormatting sqref="I43:L43">
    <cfRule type="containsText" dxfId="9" priority="9" operator="containsText" text="OK">
      <formula>NOT(ISERROR(SEARCH("OK",I43)))</formula>
    </cfRule>
    <cfRule type="containsText" dxfId="8" priority="10" operator="containsText" text="ERROR">
      <formula>NOT(ISERROR(SEARCH("ERROR",I43)))</formula>
    </cfRule>
  </conditionalFormatting>
  <conditionalFormatting sqref="I46:M46">
    <cfRule type="containsText" dxfId="7" priority="7" operator="containsText" text="OK">
      <formula>NOT(ISERROR(SEARCH("OK",I46)))</formula>
    </cfRule>
    <cfRule type="containsText" dxfId="6" priority="8" operator="containsText" text="ERROR">
      <formula>NOT(ISERROR(SEARCH("ERROR",I46)))</formula>
    </cfRule>
  </conditionalFormatting>
  <conditionalFormatting sqref="I14:M14">
    <cfRule type="containsText" dxfId="5" priority="1" operator="containsText" text="OK">
      <formula>NOT(ISERROR(SEARCH("OK",I14)))</formula>
    </cfRule>
    <cfRule type="containsText" dxfId="4" priority="2" operator="containsText" text="ERROR">
      <formula>NOT(ISERROR(SEARCH("ERROR",I14)))</formula>
    </cfRule>
  </conditionalFormatting>
  <conditionalFormatting sqref="I32:M32">
    <cfRule type="containsText" dxfId="3" priority="5" operator="containsText" text="OK">
      <formula>NOT(ISERROR(SEARCH("OK",I32)))</formula>
    </cfRule>
    <cfRule type="containsText" dxfId="2" priority="6" operator="containsText" text="ERROR">
      <formula>NOT(ISERROR(SEARCH("ERROR",I32)))</formula>
    </cfRule>
  </conditionalFormatting>
  <conditionalFormatting sqref="I23:M23">
    <cfRule type="containsText" dxfId="1" priority="3" operator="containsText" text="OK">
      <formula>NOT(ISERROR(SEARCH("OK",I23)))</formula>
    </cfRule>
    <cfRule type="containsText" dxfId="0" priority="4" operator="containsText" text="ERROR">
      <formula>NOT(ISERROR(SEARCH("ERROR",I23)))</formula>
    </cfRule>
  </conditionalFormatting>
  <dataValidations count="1">
    <dataValidation type="list" allowBlank="1" showInputMessage="1" showErrorMessage="1" sqref="Q4">
      <formula1>$O$8:$O$10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AA1002"/>
  <sheetViews>
    <sheetView showGridLines="0" topLeftCell="C1" zoomScale="112" zoomScaleNormal="112" workbookViewId="0">
      <selection activeCell="D22" sqref="D22"/>
    </sheetView>
  </sheetViews>
  <sheetFormatPr defaultColWidth="12.7109375" defaultRowHeight="15.75" customHeight="1"/>
  <cols>
    <col min="4" max="4" width="39.7109375" customWidth="1"/>
    <col min="5" max="5" width="17.140625" customWidth="1"/>
  </cols>
  <sheetData>
    <row r="1" spans="1:27" ht="13.5" thickBo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"/>
      <c r="Z1" s="1"/>
      <c r="AA1" s="1"/>
    </row>
    <row r="2" spans="1:27" ht="12.75">
      <c r="A2" s="103"/>
      <c r="B2" s="103"/>
      <c r="C2" s="103"/>
      <c r="D2" s="340" t="s">
        <v>257</v>
      </c>
      <c r="E2" s="341"/>
      <c r="F2" s="341"/>
      <c r="G2" s="341"/>
      <c r="H2" s="341"/>
      <c r="I2" s="341"/>
      <c r="J2" s="341"/>
      <c r="K2" s="341"/>
      <c r="L2" s="341"/>
      <c r="M2" s="342"/>
      <c r="N2" s="103"/>
      <c r="O2" s="103"/>
      <c r="P2" s="103"/>
      <c r="Q2" s="103"/>
      <c r="R2" s="103"/>
      <c r="S2" s="103"/>
      <c r="T2" s="103"/>
      <c r="U2" s="103"/>
      <c r="V2" s="103"/>
      <c r="W2" s="1"/>
      <c r="X2" s="1"/>
      <c r="Y2" s="1"/>
      <c r="Z2" s="1"/>
      <c r="AA2" s="1"/>
    </row>
    <row r="3" spans="1:27" ht="12.75">
      <c r="A3" s="103"/>
      <c r="B3" s="103"/>
      <c r="C3" s="103"/>
      <c r="D3" s="343" t="s">
        <v>209</v>
      </c>
      <c r="E3" s="344"/>
      <c r="F3" s="344"/>
      <c r="G3" s="344"/>
      <c r="H3" s="344"/>
      <c r="I3" s="344"/>
      <c r="J3" s="344"/>
      <c r="K3" s="344"/>
      <c r="L3" s="344"/>
      <c r="M3" s="345"/>
      <c r="N3" s="103"/>
      <c r="O3" s="103"/>
      <c r="P3" s="103"/>
      <c r="Q3" s="103"/>
      <c r="R3" s="103"/>
      <c r="S3" s="103"/>
      <c r="T3" s="103"/>
      <c r="U3" s="103"/>
      <c r="V3" s="103"/>
      <c r="W3" s="1"/>
      <c r="X3" s="1"/>
      <c r="Y3" s="1"/>
      <c r="Z3" s="1"/>
      <c r="AA3" s="1"/>
    </row>
    <row r="4" spans="1:27" ht="12.75">
      <c r="A4" s="103"/>
      <c r="B4" s="103"/>
      <c r="C4" s="103"/>
      <c r="D4" s="346"/>
      <c r="E4" s="347"/>
      <c r="F4" s="348"/>
      <c r="G4" s="348"/>
      <c r="H4" s="348"/>
      <c r="I4" s="595" t="s">
        <v>0</v>
      </c>
      <c r="J4" s="596"/>
      <c r="K4" s="596"/>
      <c r="L4" s="596"/>
      <c r="M4" s="597"/>
      <c r="N4" s="103"/>
      <c r="O4" s="103"/>
      <c r="P4" s="103"/>
      <c r="Q4" s="103"/>
      <c r="R4" s="103"/>
      <c r="S4" s="103"/>
      <c r="T4" s="103"/>
      <c r="U4" s="103"/>
      <c r="V4" s="103"/>
      <c r="W4" s="1"/>
      <c r="X4" s="1"/>
      <c r="Y4" s="1"/>
      <c r="Z4" s="1"/>
      <c r="AA4" s="1"/>
    </row>
    <row r="5" spans="1:27" ht="12.75">
      <c r="A5" s="103"/>
      <c r="B5" s="103"/>
      <c r="C5" s="103"/>
      <c r="D5" s="346"/>
      <c r="E5" s="347"/>
      <c r="F5" s="349">
        <v>2021</v>
      </c>
      <c r="G5" s="349">
        <v>2022</v>
      </c>
      <c r="H5" s="350">
        <v>2023</v>
      </c>
      <c r="I5" s="349">
        <v>2024</v>
      </c>
      <c r="J5" s="349">
        <v>2025</v>
      </c>
      <c r="K5" s="349">
        <v>2026</v>
      </c>
      <c r="L5" s="349">
        <v>2027</v>
      </c>
      <c r="M5" s="351">
        <v>2028</v>
      </c>
      <c r="N5" s="103"/>
      <c r="O5" s="103"/>
      <c r="P5" s="103"/>
      <c r="Q5" s="103"/>
      <c r="R5" s="103"/>
      <c r="S5" s="103"/>
      <c r="T5" s="103"/>
      <c r="U5" s="103"/>
      <c r="V5" s="103"/>
      <c r="W5" s="1"/>
      <c r="X5" s="1"/>
      <c r="Y5" s="1"/>
      <c r="Z5" s="1"/>
      <c r="AA5" s="1"/>
    </row>
    <row r="6" spans="1:27" ht="12.75">
      <c r="A6" s="103"/>
      <c r="B6" s="103"/>
      <c r="C6" s="103"/>
      <c r="D6" s="352" t="s">
        <v>32</v>
      </c>
      <c r="E6" s="353"/>
      <c r="F6" s="354"/>
      <c r="G6" s="354"/>
      <c r="H6" s="355"/>
      <c r="I6" s="353"/>
      <c r="J6" s="353"/>
      <c r="K6" s="353"/>
      <c r="L6" s="353"/>
      <c r="M6" s="356"/>
      <c r="N6" s="103"/>
      <c r="O6" s="103"/>
      <c r="P6" s="103"/>
      <c r="Q6" s="103"/>
      <c r="R6" s="103"/>
      <c r="S6" s="103"/>
      <c r="T6" s="103"/>
      <c r="U6" s="103"/>
      <c r="V6" s="103"/>
      <c r="W6" s="1"/>
      <c r="X6" s="1"/>
      <c r="Y6" s="1"/>
      <c r="Z6" s="1"/>
      <c r="AA6" s="1"/>
    </row>
    <row r="7" spans="1:27" ht="12.75">
      <c r="A7" s="103"/>
      <c r="B7" s="103"/>
      <c r="C7" s="103"/>
      <c r="D7" s="343" t="s">
        <v>33</v>
      </c>
      <c r="E7" s="353"/>
      <c r="F7" s="357">
        <v>4629</v>
      </c>
      <c r="G7" s="357">
        <v>913.63599999999997</v>
      </c>
      <c r="H7" s="358">
        <v>589.34</v>
      </c>
      <c r="I7" s="359">
        <f>H7*(1+15%)</f>
        <v>677.74099999999999</v>
      </c>
      <c r="J7" s="359">
        <f t="shared" ref="J7:M7" si="0">I7*(1+15%)</f>
        <v>779.40214999999989</v>
      </c>
      <c r="K7" s="359">
        <f t="shared" si="0"/>
        <v>896.31247249999979</v>
      </c>
      <c r="L7" s="359">
        <f t="shared" si="0"/>
        <v>1030.7593433749996</v>
      </c>
      <c r="M7" s="360">
        <f t="shared" si="0"/>
        <v>1185.3732448812495</v>
      </c>
      <c r="N7" s="103"/>
      <c r="O7" s="103"/>
      <c r="P7" s="103"/>
      <c r="Q7" s="103"/>
      <c r="R7" s="103"/>
      <c r="S7" s="103"/>
      <c r="T7" s="103"/>
      <c r="U7" s="103"/>
      <c r="V7" s="103"/>
      <c r="W7" s="1"/>
      <c r="X7" s="1"/>
      <c r="Y7" s="1"/>
      <c r="Z7" s="1"/>
      <c r="AA7" s="1"/>
    </row>
    <row r="8" spans="1:27" ht="12.75">
      <c r="A8" s="103"/>
      <c r="B8" s="103"/>
      <c r="C8" s="103"/>
      <c r="D8" s="343" t="s">
        <v>34</v>
      </c>
      <c r="E8" s="353"/>
      <c r="F8" s="361">
        <v>0</v>
      </c>
      <c r="G8" s="361">
        <v>0</v>
      </c>
      <c r="H8" s="362">
        <v>0</v>
      </c>
      <c r="I8" s="363">
        <v>0</v>
      </c>
      <c r="J8" s="363">
        <v>0</v>
      </c>
      <c r="K8" s="363">
        <v>0</v>
      </c>
      <c r="L8" s="363">
        <v>0</v>
      </c>
      <c r="M8" s="364">
        <v>0</v>
      </c>
      <c r="N8" s="103"/>
      <c r="O8" s="103"/>
      <c r="P8" s="103"/>
      <c r="Q8" s="103"/>
      <c r="R8" s="103"/>
      <c r="S8" s="103"/>
      <c r="T8" s="103"/>
      <c r="U8" s="103"/>
      <c r="V8" s="103"/>
      <c r="W8" s="1"/>
      <c r="X8" s="1"/>
      <c r="Y8" s="1"/>
      <c r="Z8" s="1"/>
      <c r="AA8" s="1"/>
    </row>
    <row r="9" spans="1:27" ht="12.75">
      <c r="A9" s="103"/>
      <c r="B9" s="103"/>
      <c r="C9" s="103"/>
      <c r="D9" s="343" t="s">
        <v>35</v>
      </c>
      <c r="E9" s="353"/>
      <c r="F9" s="361">
        <v>696.84</v>
      </c>
      <c r="G9" s="361">
        <v>2069</v>
      </c>
      <c r="H9" s="362">
        <v>2531</v>
      </c>
      <c r="I9" s="363">
        <f>FORECAST(I5,F9:H9,F5:H5)</f>
        <v>3599.7733333334327</v>
      </c>
      <c r="J9" s="363">
        <f>FORECAST(J5,F9:I9,F5:I5)</f>
        <v>4516.8533333332743</v>
      </c>
      <c r="K9" s="363">
        <f t="shared" ref="K9:L9" si="1">FORECAST(K5,E9:J9,E5:J5)</f>
        <v>5433.9333333333489</v>
      </c>
      <c r="L9" s="363">
        <f t="shared" si="1"/>
        <v>6351.0133333334234</v>
      </c>
      <c r="M9" s="364">
        <f>FORECAST(M5,F9:L9,F5:L5)</f>
        <v>7268.0933333334979</v>
      </c>
      <c r="N9" s="103"/>
      <c r="O9" s="103"/>
      <c r="P9" s="103"/>
      <c r="Q9" s="103"/>
      <c r="R9" s="103"/>
      <c r="S9" s="103"/>
      <c r="T9" s="103"/>
      <c r="U9" s="103"/>
      <c r="V9" s="103"/>
      <c r="W9" s="1"/>
      <c r="X9" s="1"/>
      <c r="Y9" s="1"/>
      <c r="Z9" s="1"/>
      <c r="AA9" s="1"/>
    </row>
    <row r="10" spans="1:27" ht="12.75">
      <c r="A10" s="103"/>
      <c r="B10" s="103"/>
      <c r="C10" s="103"/>
      <c r="D10" s="343" t="s">
        <v>36</v>
      </c>
      <c r="E10" s="353"/>
      <c r="F10" s="361">
        <v>0.184</v>
      </c>
      <c r="G10" s="361">
        <v>55.207999999999998</v>
      </c>
      <c r="H10" s="362">
        <v>59.896999999999998</v>
      </c>
      <c r="I10" s="363">
        <f>H10*(1+10%)</f>
        <v>65.886700000000005</v>
      </c>
      <c r="J10" s="363">
        <f>I10*(1+10%)</f>
        <v>72.475370000000012</v>
      </c>
      <c r="K10" s="363">
        <f>J10*(1+10%)</f>
        <v>79.722907000000021</v>
      </c>
      <c r="L10" s="363">
        <f>K10*(1+10%)</f>
        <v>87.695197700000023</v>
      </c>
      <c r="M10" s="364">
        <f>L10*(1+10%)</f>
        <v>96.464717470000039</v>
      </c>
      <c r="N10" s="103"/>
      <c r="O10" s="103"/>
      <c r="P10" s="103"/>
      <c r="Q10" s="103"/>
      <c r="R10" s="103"/>
      <c r="S10" s="103"/>
      <c r="T10" s="103"/>
      <c r="U10" s="103"/>
      <c r="V10" s="103"/>
      <c r="W10" s="1"/>
      <c r="X10" s="1"/>
      <c r="Y10" s="1"/>
      <c r="Z10" s="1"/>
      <c r="AA10" s="1"/>
    </row>
    <row r="11" spans="1:27" ht="12.75">
      <c r="A11" s="103"/>
      <c r="B11" s="103"/>
      <c r="C11" s="103"/>
      <c r="D11" s="365" t="s">
        <v>37</v>
      </c>
      <c r="E11" s="366"/>
      <c r="F11" s="367">
        <v>318.22899999999998</v>
      </c>
      <c r="G11" s="367">
        <v>1778</v>
      </c>
      <c r="H11" s="368">
        <v>2187</v>
      </c>
      <c r="I11" s="363">
        <f>FORECAST(I5,F11:H11,F5:H5)</f>
        <v>3296.5139999999665</v>
      </c>
      <c r="J11" s="363">
        <f>FORECAST(J5,F11:I11,F5:I5)</f>
        <v>4230.8994999998249</v>
      </c>
      <c r="K11" s="363">
        <f>FORECAST(K5,F11:J11,F5:J5)</f>
        <v>5165.2849999996834</v>
      </c>
      <c r="L11" s="363">
        <f>FORECAST(L5,F11:K11,F5:K5)</f>
        <v>6099.6704999995418</v>
      </c>
      <c r="M11" s="364">
        <f>FORECAST(M5,F11:L11,F5:L5)</f>
        <v>7034.0559999998659</v>
      </c>
      <c r="N11" s="194"/>
      <c r="O11" s="103"/>
      <c r="P11" s="103"/>
      <c r="Q11" s="103"/>
      <c r="R11" s="103"/>
      <c r="S11" s="103"/>
      <c r="T11" s="103"/>
      <c r="U11" s="103"/>
      <c r="V11" s="103"/>
      <c r="W11" s="1"/>
      <c r="X11" s="1"/>
      <c r="Y11" s="1"/>
      <c r="Z11" s="1"/>
      <c r="AA11" s="1"/>
    </row>
    <row r="12" spans="1:27" ht="12.75">
      <c r="A12" s="103"/>
      <c r="B12" s="103"/>
      <c r="C12" s="103"/>
      <c r="D12" s="352" t="s">
        <v>38</v>
      </c>
      <c r="E12" s="369"/>
      <c r="F12" s="370">
        <f t="shared" ref="F12:M12" si="2">SUM(F7:F11)</f>
        <v>5644.2530000000006</v>
      </c>
      <c r="G12" s="370">
        <f t="shared" si="2"/>
        <v>4815.8440000000001</v>
      </c>
      <c r="H12" s="370">
        <f t="shared" si="2"/>
        <v>5367.2370000000001</v>
      </c>
      <c r="I12" s="371">
        <f t="shared" si="2"/>
        <v>7639.9150333333992</v>
      </c>
      <c r="J12" s="372">
        <f t="shared" si="2"/>
        <v>9599.6303533330993</v>
      </c>
      <c r="K12" s="372">
        <f t="shared" si="2"/>
        <v>11575.253712833033</v>
      </c>
      <c r="L12" s="372">
        <f t="shared" si="2"/>
        <v>13569.138374407965</v>
      </c>
      <c r="M12" s="373">
        <f t="shared" si="2"/>
        <v>15583.987295684614</v>
      </c>
      <c r="N12" s="103"/>
      <c r="O12" s="103"/>
      <c r="P12" s="103"/>
      <c r="Q12" s="103"/>
      <c r="R12" s="103"/>
      <c r="S12" s="103"/>
      <c r="T12" s="103"/>
      <c r="U12" s="103"/>
      <c r="V12" s="103"/>
      <c r="W12" s="1"/>
      <c r="X12" s="1"/>
      <c r="Y12" s="1"/>
      <c r="Z12" s="1"/>
      <c r="AA12" s="1"/>
    </row>
    <row r="13" spans="1:27" ht="12.75">
      <c r="A13" s="103"/>
      <c r="B13" s="103"/>
      <c r="C13" s="103"/>
      <c r="D13" s="343" t="s">
        <v>39</v>
      </c>
      <c r="E13" s="353"/>
      <c r="F13" s="361">
        <v>4910</v>
      </c>
      <c r="G13" s="361">
        <v>4910</v>
      </c>
      <c r="H13" s="361">
        <v>4910</v>
      </c>
      <c r="I13" s="363">
        <f>H13*(1+10%)</f>
        <v>5401</v>
      </c>
      <c r="J13" s="363">
        <f t="shared" ref="J13:M13" si="3">I13*(1+10%)</f>
        <v>5941.1</v>
      </c>
      <c r="K13" s="363">
        <f t="shared" si="3"/>
        <v>6535.2100000000009</v>
      </c>
      <c r="L13" s="363">
        <f t="shared" si="3"/>
        <v>7188.7310000000016</v>
      </c>
      <c r="M13" s="364">
        <f t="shared" si="3"/>
        <v>7907.6041000000023</v>
      </c>
      <c r="N13" s="103"/>
      <c r="O13" s="103"/>
      <c r="P13" s="103"/>
      <c r="Q13" s="103"/>
      <c r="R13" s="103"/>
      <c r="S13" s="103"/>
      <c r="T13" s="103"/>
      <c r="U13" s="103"/>
      <c r="V13" s="103"/>
      <c r="W13" s="1"/>
      <c r="X13" s="1"/>
      <c r="Y13" s="1"/>
      <c r="Z13" s="1"/>
      <c r="AA13" s="1"/>
    </row>
    <row r="14" spans="1:27" ht="12.75">
      <c r="A14" s="103"/>
      <c r="B14" s="103"/>
      <c r="C14" s="103"/>
      <c r="D14" s="343" t="s">
        <v>40</v>
      </c>
      <c r="E14" s="353"/>
      <c r="F14" s="361">
        <v>114.652</v>
      </c>
      <c r="G14" s="361">
        <v>158.99199999999999</v>
      </c>
      <c r="H14" s="362">
        <v>778.48099999999999</v>
      </c>
      <c r="I14" s="363">
        <f>H14*(1+'Scenario Analysis'!I44)</f>
        <v>934.17719999999997</v>
      </c>
      <c r="J14" s="363">
        <f>I14*(1+'Scenario Analysis'!J44)</f>
        <v>1121.0126399999999</v>
      </c>
      <c r="K14" s="363">
        <f>J14*(1+'Scenario Analysis'!K44)</f>
        <v>1345.2151679999999</v>
      </c>
      <c r="L14" s="363">
        <f>K14*(1+'Scenario Analysis'!L44)</f>
        <v>1614.2582015999999</v>
      </c>
      <c r="M14" s="363">
        <f>L14*(1+'Scenario Analysis'!M44)</f>
        <v>1937.1098419199998</v>
      </c>
      <c r="N14" s="103"/>
      <c r="O14" s="103"/>
      <c r="P14" s="103"/>
      <c r="Q14" s="103"/>
      <c r="R14" s="103"/>
      <c r="S14" s="103"/>
      <c r="T14" s="103"/>
      <c r="U14" s="103"/>
      <c r="V14" s="103"/>
      <c r="W14" s="1"/>
      <c r="X14" s="1"/>
      <c r="Y14" s="1"/>
      <c r="Z14" s="1"/>
      <c r="AA14" s="1"/>
    </row>
    <row r="15" spans="1:27" ht="12.75">
      <c r="A15" s="103"/>
      <c r="B15" s="103"/>
      <c r="C15" s="103"/>
      <c r="D15" s="343" t="s">
        <v>41</v>
      </c>
      <c r="E15" s="353"/>
      <c r="F15" s="361">
        <v>2085.7319999999991</v>
      </c>
      <c r="G15" s="361">
        <v>339.38200000000097</v>
      </c>
      <c r="H15" s="362">
        <v>117.55099999999796</v>
      </c>
      <c r="I15" s="363">
        <f>H15*(1+5%)</f>
        <v>123.42854999999786</v>
      </c>
      <c r="J15" s="363">
        <f t="shared" ref="J15:M15" si="4">I15*(1+5%)</f>
        <v>129.59997749999775</v>
      </c>
      <c r="K15" s="363">
        <f t="shared" si="4"/>
        <v>136.07997637499764</v>
      </c>
      <c r="L15" s="363">
        <f t="shared" si="4"/>
        <v>142.88397519374752</v>
      </c>
      <c r="M15" s="364">
        <f t="shared" si="4"/>
        <v>150.0281739534349</v>
      </c>
      <c r="N15" s="103"/>
      <c r="O15" s="103"/>
      <c r="P15" s="103"/>
      <c r="Q15" s="103"/>
      <c r="R15" s="103"/>
      <c r="S15" s="103"/>
      <c r="T15" s="103"/>
      <c r="U15" s="103"/>
      <c r="V15" s="103"/>
      <c r="W15" s="1"/>
      <c r="X15" s="1"/>
      <c r="Y15" s="1"/>
      <c r="Z15" s="1"/>
      <c r="AA15" s="1"/>
    </row>
    <row r="16" spans="1:27" ht="12.75">
      <c r="A16" s="103"/>
      <c r="B16" s="103"/>
      <c r="C16" s="103"/>
      <c r="D16" s="343" t="s">
        <v>42</v>
      </c>
      <c r="E16" s="353"/>
      <c r="F16" s="361">
        <v>3354</v>
      </c>
      <c r="G16" s="361">
        <v>3752</v>
      </c>
      <c r="H16" s="362">
        <v>2469</v>
      </c>
      <c r="I16" s="363">
        <f>AVERAGE(F16:H16)*(1+5%)</f>
        <v>3351.25</v>
      </c>
      <c r="J16" s="363">
        <f>AVERAGE(F16:I16)*(1+5%)</f>
        <v>3393.140625</v>
      </c>
      <c r="K16" s="363">
        <f>AVERAGE(F16:J16)*(1+5%)</f>
        <v>3427.0720312500002</v>
      </c>
      <c r="L16" s="363">
        <f>AVERAGE(F16:K16)*(1+5%)</f>
        <v>3455.6309648437505</v>
      </c>
      <c r="M16" s="363">
        <f>AVERAGE(F16:L16)*(1+5%)</f>
        <v>3480.3140431640627</v>
      </c>
      <c r="N16" s="103"/>
      <c r="O16" s="103"/>
      <c r="P16" s="103"/>
      <c r="Q16" s="103"/>
      <c r="R16" s="103"/>
      <c r="S16" s="103"/>
      <c r="T16" s="103"/>
      <c r="U16" s="103"/>
      <c r="V16" s="103"/>
      <c r="W16" s="1"/>
      <c r="X16" s="1"/>
      <c r="Y16" s="1"/>
      <c r="Z16" s="1"/>
      <c r="AA16" s="1"/>
    </row>
    <row r="17" spans="1:27" ht="12.75">
      <c r="A17" s="103"/>
      <c r="B17" s="103"/>
      <c r="C17" s="103"/>
      <c r="D17" s="343" t="s">
        <v>43</v>
      </c>
      <c r="E17" s="353"/>
      <c r="F17" s="361">
        <v>859.58699999999999</v>
      </c>
      <c r="G17" s="361">
        <v>1725</v>
      </c>
      <c r="H17" s="362">
        <v>996.44100000000003</v>
      </c>
      <c r="I17" s="363">
        <f>FORECAST(I5,F17:H17,F5:H5)</f>
        <v>1330.5300000000279</v>
      </c>
      <c r="J17" s="363">
        <f>FORECAST(J5,F17:I17,F5:I5)</f>
        <v>1398.957000000024</v>
      </c>
      <c r="K17" s="363">
        <f>FORECAST(K5,F17:J17,F5:J5)</f>
        <v>1467.38400000002</v>
      </c>
      <c r="L17" s="363">
        <f>FORECAST(L5,F17:K17,F5:K5)</f>
        <v>1535.8110000000452</v>
      </c>
      <c r="M17" s="364">
        <f>FORECAST(M5,F17:L17,F5:L5)</f>
        <v>1604.2380000000412</v>
      </c>
      <c r="N17" s="103"/>
      <c r="O17" s="103"/>
      <c r="P17" s="103"/>
      <c r="Q17" s="103"/>
      <c r="R17" s="103"/>
      <c r="S17" s="103"/>
      <c r="T17" s="103"/>
      <c r="U17" s="103"/>
      <c r="V17" s="103"/>
      <c r="W17" s="1"/>
      <c r="X17" s="1"/>
      <c r="Y17" s="1"/>
      <c r="Z17" s="1"/>
      <c r="AA17" s="1"/>
    </row>
    <row r="18" spans="1:27" ht="12.75">
      <c r="A18" s="103"/>
      <c r="B18" s="103"/>
      <c r="C18" s="103"/>
      <c r="D18" s="343" t="s">
        <v>44</v>
      </c>
      <c r="E18" s="353"/>
      <c r="F18" s="361">
        <v>123.776</v>
      </c>
      <c r="G18" s="361">
        <v>172.78200000000001</v>
      </c>
      <c r="H18" s="362">
        <v>542.29</v>
      </c>
      <c r="I18" s="363">
        <f>FORECAST(I5,F18:H18,F5:H5)</f>
        <v>698.12999999994645</v>
      </c>
      <c r="J18" s="363">
        <f>FORECAST(J5,F18:I18,F5:I5)</f>
        <v>907.38699999992969</v>
      </c>
      <c r="K18" s="363">
        <f>FORECAST(K5,F18:J18,F5:J5)</f>
        <v>1116.6439999999129</v>
      </c>
      <c r="L18" s="363">
        <f>FORECAST(L5,F18:K18,F5:K5)</f>
        <v>1325.9009999998962</v>
      </c>
      <c r="M18" s="364">
        <f>FORECAST(M5,F18:L18,F5:L5)</f>
        <v>1535.1579999998794</v>
      </c>
      <c r="N18" s="103"/>
      <c r="O18" s="103"/>
      <c r="P18" s="103"/>
      <c r="Q18" s="103"/>
      <c r="R18" s="103"/>
      <c r="S18" s="103"/>
      <c r="T18" s="103"/>
      <c r="U18" s="103"/>
      <c r="V18" s="103"/>
      <c r="W18" s="1"/>
      <c r="X18" s="1"/>
      <c r="Y18" s="1"/>
      <c r="Z18" s="1"/>
      <c r="AA18" s="1"/>
    </row>
    <row r="19" spans="1:27" ht="13.5" thickBot="1">
      <c r="A19" s="103"/>
      <c r="B19" s="103"/>
      <c r="C19" s="103"/>
      <c r="D19" s="374" t="s">
        <v>45</v>
      </c>
      <c r="E19" s="375"/>
      <c r="F19" s="376">
        <f>SUM(F12:F18)</f>
        <v>17092</v>
      </c>
      <c r="G19" s="376">
        <f>SUM(G12:G18)</f>
        <v>15874.000000000002</v>
      </c>
      <c r="H19" s="376">
        <f>SUM(H12:H18)</f>
        <v>15181</v>
      </c>
      <c r="I19" s="377">
        <f t="shared" ref="I19:M19" si="5">SUM(I12:I18)</f>
        <v>19478.430783333373</v>
      </c>
      <c r="J19" s="376">
        <f t="shared" si="5"/>
        <v>22490.827595833052</v>
      </c>
      <c r="K19" s="376">
        <f t="shared" si="5"/>
        <v>25602.858888457966</v>
      </c>
      <c r="L19" s="376">
        <f t="shared" si="5"/>
        <v>28832.354516045405</v>
      </c>
      <c r="M19" s="378">
        <f t="shared" si="5"/>
        <v>32198.439454722036</v>
      </c>
      <c r="N19" s="103"/>
      <c r="O19" s="103"/>
      <c r="P19" s="103"/>
      <c r="Q19" s="103"/>
      <c r="R19" s="103"/>
      <c r="S19" s="103"/>
      <c r="T19" s="103"/>
      <c r="U19" s="103"/>
      <c r="V19" s="103"/>
      <c r="W19" s="1"/>
      <c r="X19" s="1"/>
      <c r="Y19" s="1"/>
      <c r="Z19" s="1"/>
      <c r="AA19" s="1"/>
    </row>
    <row r="20" spans="1:27" ht="13.5" thickTop="1">
      <c r="A20" s="103"/>
      <c r="B20" s="103"/>
      <c r="C20" s="103"/>
      <c r="D20" s="379"/>
      <c r="E20" s="353"/>
      <c r="F20" s="380">
        <f>G19/F19-1</f>
        <v>-7.1261408846243768E-2</v>
      </c>
      <c r="G20" s="380">
        <f t="shared" ref="G20:H20" si="6">H19/G19-1</f>
        <v>-4.3656293309814909E-2</v>
      </c>
      <c r="H20" s="380">
        <f t="shared" si="6"/>
        <v>0.28307955887842517</v>
      </c>
      <c r="I20" s="380">
        <f>J19/I19-1</f>
        <v>0.15465295156513448</v>
      </c>
      <c r="J20" s="380">
        <f>K19/J19-1</f>
        <v>0.13836890969727977</v>
      </c>
      <c r="K20" s="380">
        <f t="shared" ref="K20" si="7">L19/K19-1</f>
        <v>0.12613808644015645</v>
      </c>
      <c r="L20" s="380">
        <f t="shared" ref="L20" si="8">M19/L19-1</f>
        <v>0.11674679349559813</v>
      </c>
      <c r="M20" s="381">
        <f>M19/L19-1</f>
        <v>0.11674679349559813</v>
      </c>
      <c r="N20" s="103"/>
      <c r="O20" s="103"/>
      <c r="P20" s="103"/>
      <c r="Q20" s="103"/>
      <c r="R20" s="103"/>
      <c r="S20" s="103"/>
      <c r="T20" s="103"/>
      <c r="U20" s="103"/>
      <c r="V20" s="103"/>
      <c r="W20" s="1"/>
      <c r="X20" s="1"/>
      <c r="Y20" s="1"/>
      <c r="Z20" s="1"/>
      <c r="AA20" s="1"/>
    </row>
    <row r="21" spans="1:27" ht="12.75">
      <c r="A21" s="103"/>
      <c r="B21" s="103"/>
      <c r="C21" s="103"/>
      <c r="D21" s="352" t="s">
        <v>46</v>
      </c>
      <c r="E21" s="353"/>
      <c r="F21" s="382"/>
      <c r="G21" s="383"/>
      <c r="H21" s="384"/>
      <c r="I21" s="353"/>
      <c r="J21" s="353"/>
      <c r="K21" s="353"/>
      <c r="L21" s="353"/>
      <c r="M21" s="356"/>
      <c r="N21" s="103"/>
      <c r="O21" s="103"/>
      <c r="P21" s="103"/>
      <c r="Q21" s="103"/>
      <c r="R21" s="103"/>
      <c r="S21" s="103"/>
      <c r="T21" s="103"/>
      <c r="U21" s="103"/>
      <c r="V21" s="103"/>
      <c r="W21" s="1"/>
      <c r="X21" s="1"/>
      <c r="Y21" s="1"/>
      <c r="Z21" s="1"/>
      <c r="AA21" s="1"/>
    </row>
    <row r="22" spans="1:27" ht="12.75">
      <c r="A22" s="103"/>
      <c r="B22" s="103"/>
      <c r="C22" s="103"/>
      <c r="D22" s="343" t="s">
        <v>47</v>
      </c>
      <c r="E22" s="353"/>
      <c r="F22" s="385">
        <v>1363</v>
      </c>
      <c r="G22" s="385">
        <v>3958</v>
      </c>
      <c r="H22" s="386">
        <v>4083</v>
      </c>
      <c r="I22" s="363">
        <f>FORECAST(I5,F22:H22,F5:H5)</f>
        <v>5854.6666666665114</v>
      </c>
      <c r="J22" s="363">
        <f>FORECAST(J5,F22:I22,F5:I5)</f>
        <v>7214.6666666660458</v>
      </c>
      <c r="K22" s="363">
        <f>FORECAST(K5,F22:J22,F5:J5)</f>
        <v>8574.6666666665114</v>
      </c>
      <c r="L22" s="363">
        <f>FORECAST(L5,F22:K22,F5:K5)</f>
        <v>9934.6666666665114</v>
      </c>
      <c r="M22" s="364">
        <f>FORECAST(M5,F22:L22,F5:L5)</f>
        <v>11294.666666666046</v>
      </c>
      <c r="N22" s="103"/>
      <c r="O22" s="103"/>
      <c r="P22" s="103"/>
      <c r="Q22" s="103"/>
      <c r="R22" s="103"/>
      <c r="S22" s="103"/>
      <c r="T22" s="103"/>
      <c r="U22" s="103"/>
      <c r="V22" s="103"/>
      <c r="W22" s="1"/>
      <c r="X22" s="1"/>
      <c r="Y22" s="1"/>
      <c r="Z22" s="1"/>
      <c r="AA22" s="1"/>
    </row>
    <row r="23" spans="1:27" ht="12.75">
      <c r="A23" s="103"/>
      <c r="B23" s="103"/>
      <c r="C23" s="103"/>
      <c r="D23" s="343" t="s">
        <v>48</v>
      </c>
      <c r="E23" s="353"/>
      <c r="F23" s="385">
        <v>0</v>
      </c>
      <c r="G23" s="385">
        <v>0</v>
      </c>
      <c r="H23" s="386">
        <v>0</v>
      </c>
      <c r="I23" s="363">
        <f>FORECAST(I5,F23:H23,F5:H5)</f>
        <v>0</v>
      </c>
      <c r="J23" s="363">
        <f>FORECAST(J5,F23:I23,F5:I5)</f>
        <v>0</v>
      </c>
      <c r="K23" s="363">
        <f>FORECAST(K5,F23:J23,F5:J5)</f>
        <v>0</v>
      </c>
      <c r="L23" s="363">
        <f>FORECAST(L5,F23:K23,F5:K5)</f>
        <v>0</v>
      </c>
      <c r="M23" s="364">
        <f>FORECAST(M5,F23:L23,F5:L5)</f>
        <v>0</v>
      </c>
      <c r="N23" s="103"/>
      <c r="O23" s="103"/>
      <c r="P23" s="103"/>
      <c r="Q23" s="103"/>
      <c r="R23" s="103"/>
      <c r="S23" s="103"/>
      <c r="T23" s="103"/>
      <c r="U23" s="103"/>
      <c r="V23" s="103"/>
      <c r="W23" s="1"/>
      <c r="X23" s="1"/>
      <c r="Y23" s="1"/>
      <c r="Z23" s="1"/>
      <c r="AA23" s="1"/>
    </row>
    <row r="24" spans="1:27" ht="12.75">
      <c r="A24" s="103"/>
      <c r="B24" s="103"/>
      <c r="C24" s="103"/>
      <c r="D24" s="343" t="s">
        <v>49</v>
      </c>
      <c r="E24" s="353"/>
      <c r="F24" s="385">
        <v>800</v>
      </c>
      <c r="G24" s="385">
        <v>1023</v>
      </c>
      <c r="H24" s="386">
        <v>1127</v>
      </c>
      <c r="I24" s="363">
        <f>FORECAST(I5,F24:H24,F5:H5)</f>
        <v>1310.3333333333139</v>
      </c>
      <c r="J24" s="363">
        <f>FORECAST(J5,F24:I24,F5:I5)</f>
        <v>1473.8333333332557</v>
      </c>
      <c r="K24" s="363">
        <f>FORECAST(K5,F24:J24,F5:J5)</f>
        <v>1637.3333333333139</v>
      </c>
      <c r="L24" s="363">
        <f>FORECAST(L5,F24:K24,F5:K5)</f>
        <v>1800.8333333333139</v>
      </c>
      <c r="M24" s="364">
        <f>FORECAST(M5,F24:L24,F5:L5)</f>
        <v>1964.3333333332557</v>
      </c>
      <c r="N24" s="103"/>
      <c r="O24" s="103"/>
      <c r="P24" s="103"/>
      <c r="Q24" s="103"/>
      <c r="R24" s="103"/>
      <c r="S24" s="103"/>
      <c r="T24" s="103"/>
      <c r="U24" s="103"/>
      <c r="V24" s="103"/>
      <c r="W24" s="1"/>
      <c r="X24" s="1"/>
      <c r="Y24" s="1"/>
      <c r="Z24" s="1"/>
      <c r="AA24" s="1"/>
    </row>
    <row r="25" spans="1:27" ht="12.75">
      <c r="A25" s="103"/>
      <c r="B25" s="103"/>
      <c r="C25" s="103"/>
      <c r="D25" s="343" t="s">
        <v>50</v>
      </c>
      <c r="E25" s="353"/>
      <c r="F25" s="385">
        <v>11735</v>
      </c>
      <c r="G25" s="385">
        <v>11152</v>
      </c>
      <c r="H25" s="386">
        <v>14312</v>
      </c>
      <c r="I25" s="363">
        <f>FORECAST(I5,F25:H25,F5:H5)</f>
        <v>14976.666666666511</v>
      </c>
      <c r="J25" s="363">
        <f>FORECAST(J5,F25:I25,F5:I5)</f>
        <v>16265.166666666046</v>
      </c>
      <c r="K25" s="363">
        <f>FORECAST(K5,F25:J25,F5:J5)</f>
        <v>17553.666666666511</v>
      </c>
      <c r="L25" s="363">
        <f>FORECAST(L5,F25:K25,F5:K5)</f>
        <v>18842.166666666511</v>
      </c>
      <c r="M25" s="364">
        <f>FORECAST(M5,F25:L25,F5:L5)</f>
        <v>20130.666666666046</v>
      </c>
      <c r="N25" s="103"/>
      <c r="O25" s="103"/>
      <c r="P25" s="103"/>
      <c r="Q25" s="103"/>
      <c r="R25" s="103"/>
      <c r="S25" s="103"/>
      <c r="T25" s="103"/>
      <c r="U25" s="103"/>
      <c r="V25" s="103"/>
      <c r="W25" s="1"/>
      <c r="X25" s="1"/>
      <c r="Y25" s="1"/>
      <c r="Z25" s="1"/>
      <c r="AA25" s="1"/>
    </row>
    <row r="26" spans="1:27" ht="12.75">
      <c r="A26" s="103"/>
      <c r="B26" s="103"/>
      <c r="C26" s="103"/>
      <c r="D26" s="365" t="s">
        <v>51</v>
      </c>
      <c r="E26" s="366"/>
      <c r="F26" s="387">
        <v>269</v>
      </c>
      <c r="G26" s="387">
        <v>382</v>
      </c>
      <c r="H26" s="388">
        <v>561</v>
      </c>
      <c r="I26" s="363">
        <f>FORECAST(I5,F26:H26,F5:H5)</f>
        <v>696</v>
      </c>
      <c r="J26" s="363">
        <f>FORECAST(J5,F26:I26,F5:I5)</f>
        <v>842</v>
      </c>
      <c r="K26" s="363">
        <f>FORECAST(K5,F26:J26,F5:J5)</f>
        <v>988</v>
      </c>
      <c r="L26" s="363">
        <f>FORECAST(L5,F26:K26,F5:K5)</f>
        <v>1134</v>
      </c>
      <c r="M26" s="364">
        <f>FORECAST(M5,F26:L26,F5:L5)</f>
        <v>1280</v>
      </c>
      <c r="N26" s="103"/>
      <c r="O26" s="103"/>
      <c r="P26" s="103"/>
      <c r="Q26" s="103"/>
      <c r="R26" s="103"/>
      <c r="S26" s="103"/>
      <c r="T26" s="103"/>
      <c r="U26" s="103"/>
      <c r="V26" s="103"/>
      <c r="W26" s="1"/>
      <c r="X26" s="1"/>
      <c r="Y26" s="1"/>
      <c r="Z26" s="1"/>
      <c r="AA26" s="1"/>
    </row>
    <row r="27" spans="1:27" ht="12.75">
      <c r="A27" s="103"/>
      <c r="B27" s="103"/>
      <c r="C27" s="103"/>
      <c r="D27" s="389" t="s">
        <v>52</v>
      </c>
      <c r="E27" s="390"/>
      <c r="F27" s="370">
        <v>10373.075999999999</v>
      </c>
      <c r="G27" s="370">
        <v>5715.4309999999996</v>
      </c>
      <c r="H27" s="370">
        <f>16681.985</f>
        <v>16681.985000000001</v>
      </c>
      <c r="I27" s="371">
        <f>SUM(I22:I26)</f>
        <v>22837.666666666337</v>
      </c>
      <c r="J27" s="372">
        <f t="shared" ref="J27:M27" si="9">SUM(J22:J26)</f>
        <v>25795.666666665347</v>
      </c>
      <c r="K27" s="372">
        <f t="shared" si="9"/>
        <v>28753.666666666337</v>
      </c>
      <c r="L27" s="372">
        <f t="shared" si="9"/>
        <v>31711.666666666337</v>
      </c>
      <c r="M27" s="373">
        <f t="shared" si="9"/>
        <v>34669.666666665347</v>
      </c>
      <c r="N27" s="103"/>
      <c r="O27" s="103"/>
      <c r="P27" s="103"/>
      <c r="Q27" s="103"/>
      <c r="R27" s="103"/>
      <c r="S27" s="103"/>
      <c r="T27" s="103"/>
      <c r="U27" s="103"/>
      <c r="V27" s="103"/>
      <c r="W27" s="1"/>
      <c r="X27" s="1"/>
      <c r="Y27" s="1"/>
      <c r="Z27" s="1"/>
      <c r="AA27" s="1"/>
    </row>
    <row r="28" spans="1:27" ht="12.75">
      <c r="A28" s="103"/>
      <c r="B28" s="103"/>
      <c r="C28" s="103"/>
      <c r="D28" s="343" t="s">
        <v>53</v>
      </c>
      <c r="E28" s="353"/>
      <c r="F28" s="361">
        <v>9524</v>
      </c>
      <c r="G28" s="361">
        <v>9631</v>
      </c>
      <c r="H28" s="362">
        <v>12746</v>
      </c>
      <c r="I28" s="363">
        <f>FORECAST(I5,F28:H28,F5:H5)</f>
        <v>13855.666666666511</v>
      </c>
      <c r="J28" s="363">
        <f>FORECAST(J5,F28:I28,F5:I5)</f>
        <v>15466.666666666046</v>
      </c>
      <c r="K28" s="363">
        <f>FORECAST(K5,F28:J28,F5:J5)</f>
        <v>17077.666666666511</v>
      </c>
      <c r="L28" s="363">
        <f>FORECAST(L5,F28:K28,F5:K5)</f>
        <v>18688.666666666511</v>
      </c>
      <c r="M28" s="364">
        <f>FORECAST(M5,F28:L28,F5:L5)</f>
        <v>20299.666666666046</v>
      </c>
      <c r="N28" s="103"/>
      <c r="O28" s="103"/>
      <c r="P28" s="103"/>
      <c r="Q28" s="103"/>
      <c r="R28" s="103"/>
      <c r="S28" s="103"/>
      <c r="T28" s="103"/>
      <c r="U28" s="103"/>
      <c r="V28" s="103"/>
      <c r="W28" s="1"/>
      <c r="X28" s="1"/>
      <c r="Y28" s="1"/>
      <c r="Z28" s="1"/>
      <c r="AA28" s="1"/>
    </row>
    <row r="29" spans="1:27" ht="12.75">
      <c r="A29" s="103"/>
      <c r="B29" s="103"/>
      <c r="C29" s="103"/>
      <c r="D29" s="343" t="s">
        <v>54</v>
      </c>
      <c r="E29" s="353"/>
      <c r="F29" s="361">
        <v>7745</v>
      </c>
      <c r="G29" s="361">
        <v>6414</v>
      </c>
      <c r="H29" s="362">
        <v>7227</v>
      </c>
      <c r="I29" s="363">
        <f>FORECAST(I5,F29:H29,F5:H5)</f>
        <v>6610.6666666666279</v>
      </c>
      <c r="J29" s="363">
        <f>FORECAST(J5,F29:I29,F5:I5)</f>
        <v>6351.6666666666279</v>
      </c>
      <c r="K29" s="363">
        <f>FORECAST(K5,F29:J29,F5:J5)</f>
        <v>6092.6666666666279</v>
      </c>
      <c r="L29" s="363">
        <f>FORECAST(L5,F29:K29,F5:K5)</f>
        <v>5833.6666666666279</v>
      </c>
      <c r="M29" s="364">
        <f>FORECAST(M5,F29:L29,F5:L5)</f>
        <v>5574.6666666666279</v>
      </c>
      <c r="N29" s="103"/>
      <c r="O29" s="103"/>
      <c r="P29" s="103"/>
      <c r="Q29" s="103"/>
      <c r="R29" s="103"/>
      <c r="S29" s="103"/>
      <c r="T29" s="103"/>
      <c r="U29" s="103"/>
      <c r="V29" s="103"/>
      <c r="W29" s="1"/>
      <c r="X29" s="1"/>
      <c r="Y29" s="1"/>
      <c r="Z29" s="1"/>
      <c r="AA29" s="1"/>
    </row>
    <row r="30" spans="1:27" ht="13.5" thickBot="1">
      <c r="A30" s="103"/>
      <c r="B30" s="103"/>
      <c r="C30" s="103"/>
      <c r="D30" s="391" t="s">
        <v>55</v>
      </c>
      <c r="E30" s="392"/>
      <c r="F30" s="376">
        <v>44199</v>
      </c>
      <c r="G30" s="376">
        <v>52826.478000000003</v>
      </c>
      <c r="H30" s="376">
        <v>66264.14</v>
      </c>
      <c r="I30" s="377">
        <f>H30*(1+5%)</f>
        <v>69577.347000000009</v>
      </c>
      <c r="J30" s="377">
        <f>I30*(1-5%)</f>
        <v>66098.479650000008</v>
      </c>
      <c r="K30" s="377">
        <f t="shared" ref="K30:M30" si="10">J30*(1-5%)</f>
        <v>62793.555667500004</v>
      </c>
      <c r="L30" s="377">
        <f t="shared" si="10"/>
        <v>59653.877884125002</v>
      </c>
      <c r="M30" s="393">
        <f t="shared" si="10"/>
        <v>56671.183989918747</v>
      </c>
      <c r="N30" s="103"/>
      <c r="O30" s="103"/>
      <c r="P30" s="103"/>
      <c r="Q30" s="103"/>
      <c r="R30" s="103"/>
      <c r="S30" s="103"/>
      <c r="T30" s="103"/>
      <c r="U30" s="103"/>
      <c r="V30" s="103"/>
      <c r="W30" s="1"/>
      <c r="X30" s="1"/>
      <c r="Y30" s="1"/>
      <c r="Z30" s="1"/>
      <c r="AA30" s="1"/>
    </row>
    <row r="31" spans="1:27" ht="13.5" thickTop="1">
      <c r="A31" s="103"/>
      <c r="B31" s="103"/>
      <c r="C31" s="103"/>
      <c r="D31" s="394" t="s">
        <v>236</v>
      </c>
      <c r="E31" s="353"/>
      <c r="F31" s="380">
        <f>G30/F30-1</f>
        <v>0.19519622615896304</v>
      </c>
      <c r="G31" s="380">
        <f t="shared" ref="G31:H31" si="11">H30/G30-1</f>
        <v>0.25437361165739647</v>
      </c>
      <c r="H31" s="380">
        <f t="shared" si="11"/>
        <v>5.0000000000000044E-2</v>
      </c>
      <c r="I31" s="380">
        <f t="shared" ref="I31" si="12">J30/I30-1</f>
        <v>-5.0000000000000044E-2</v>
      </c>
      <c r="J31" s="380">
        <f t="shared" ref="J31" si="13">K30/J30-1</f>
        <v>-5.0000000000000044E-2</v>
      </c>
      <c r="K31" s="380">
        <f t="shared" ref="K31" si="14">L30/K30-1</f>
        <v>-5.0000000000000044E-2</v>
      </c>
      <c r="L31" s="380">
        <f t="shared" ref="L31" si="15">M30/L30-1</f>
        <v>-5.0000000000000044E-2</v>
      </c>
      <c r="M31" s="381">
        <f>L30/M30-1</f>
        <v>5.2631578947368585E-2</v>
      </c>
      <c r="N31" s="103"/>
      <c r="O31" s="103"/>
      <c r="P31" s="103"/>
      <c r="Q31" s="103"/>
      <c r="R31" s="103"/>
      <c r="S31" s="103"/>
      <c r="T31" s="103"/>
      <c r="U31" s="103"/>
      <c r="V31" s="103"/>
      <c r="W31" s="1"/>
      <c r="X31" s="1"/>
      <c r="Y31" s="1"/>
      <c r="Z31" s="1"/>
      <c r="AA31" s="1"/>
    </row>
    <row r="32" spans="1:27" ht="12.75">
      <c r="A32" s="103"/>
      <c r="B32" s="103"/>
      <c r="C32" s="103"/>
      <c r="D32" s="352" t="s">
        <v>56</v>
      </c>
      <c r="E32" s="353"/>
      <c r="F32" s="395"/>
      <c r="G32" s="395"/>
      <c r="H32" s="396"/>
      <c r="I32" s="353"/>
      <c r="J32" s="353"/>
      <c r="K32" s="353"/>
      <c r="L32" s="353"/>
      <c r="M32" s="356"/>
      <c r="N32" s="103"/>
      <c r="O32" s="103"/>
      <c r="P32" s="103"/>
      <c r="Q32" s="103"/>
      <c r="R32" s="103"/>
      <c r="S32" s="103"/>
      <c r="T32" s="103"/>
      <c r="U32" s="103"/>
      <c r="V32" s="103"/>
      <c r="W32" s="1"/>
      <c r="X32" s="1"/>
      <c r="Y32" s="1"/>
      <c r="Z32" s="1"/>
      <c r="AA32" s="1"/>
    </row>
    <row r="33" spans="1:27" ht="12.75">
      <c r="A33" s="103"/>
      <c r="B33" s="103"/>
      <c r="C33" s="103"/>
      <c r="D33" s="343" t="s">
        <v>57</v>
      </c>
      <c r="E33" s="353"/>
      <c r="F33" s="361">
        <v>0</v>
      </c>
      <c r="G33" s="361">
        <v>0</v>
      </c>
      <c r="H33" s="362">
        <v>0</v>
      </c>
      <c r="I33" s="363">
        <f>FORECAST(I5,F33:H33,F5:H5)</f>
        <v>0</v>
      </c>
      <c r="J33" s="363">
        <f>FORECAST(J5,F33:I33,F5:I5)</f>
        <v>0</v>
      </c>
      <c r="K33" s="363">
        <f>FORECAST(K5,F33:J33,F5:J5)</f>
        <v>0</v>
      </c>
      <c r="L33" s="363">
        <f>FORECAST(L5,F33:K33,F5:K5)</f>
        <v>0</v>
      </c>
      <c r="M33" s="364">
        <f>FORECAST(M5,F33:L33,F5:L5)</f>
        <v>0</v>
      </c>
      <c r="N33" s="103"/>
      <c r="O33" s="103"/>
      <c r="P33" s="103"/>
      <c r="Q33" s="103"/>
      <c r="R33" s="103"/>
      <c r="S33" s="103"/>
      <c r="T33" s="103"/>
      <c r="U33" s="103"/>
      <c r="V33" s="103"/>
      <c r="W33" s="1"/>
      <c r="X33" s="1"/>
      <c r="Y33" s="1"/>
      <c r="Z33" s="1"/>
      <c r="AA33" s="1"/>
    </row>
    <row r="34" spans="1:27" ht="12.75">
      <c r="A34" s="103"/>
      <c r="B34" s="103"/>
      <c r="C34" s="103"/>
      <c r="D34" s="343" t="s">
        <v>58</v>
      </c>
      <c r="E34" s="353"/>
      <c r="F34" s="361">
        <v>0</v>
      </c>
      <c r="G34" s="361">
        <v>0</v>
      </c>
      <c r="H34" s="362">
        <v>0</v>
      </c>
      <c r="I34" s="363">
        <f>FORECAST(I5,F34:H34,F5:H5)</f>
        <v>0</v>
      </c>
      <c r="J34" s="363">
        <f>FORECAST(J5,F34:I34,F5:I5)</f>
        <v>0</v>
      </c>
      <c r="K34" s="363">
        <f>FORECAST(K5,F34:J34,F5:J5)</f>
        <v>0</v>
      </c>
      <c r="L34" s="363">
        <f>FORECAST(L5,F34:K34,F5:K5)</f>
        <v>0</v>
      </c>
      <c r="M34" s="364">
        <f>FORECAST(M5,F34:L34,F5:L5)</f>
        <v>0</v>
      </c>
      <c r="N34" s="103"/>
      <c r="O34" s="103"/>
      <c r="P34" s="103"/>
      <c r="Q34" s="103"/>
      <c r="R34" s="103"/>
      <c r="S34" s="103"/>
      <c r="T34" s="103"/>
      <c r="U34" s="103"/>
      <c r="V34" s="103"/>
      <c r="W34" s="1"/>
      <c r="X34" s="1"/>
      <c r="Y34" s="1"/>
      <c r="Z34" s="1"/>
      <c r="AA34" s="1"/>
    </row>
    <row r="35" spans="1:27" ht="12.75">
      <c r="A35" s="103"/>
      <c r="B35" s="103"/>
      <c r="C35" s="103"/>
      <c r="D35" s="365" t="s">
        <v>59</v>
      </c>
      <c r="E35" s="366"/>
      <c r="F35" s="367">
        <v>0</v>
      </c>
      <c r="G35" s="367">
        <v>0</v>
      </c>
      <c r="H35" s="368">
        <v>0</v>
      </c>
      <c r="I35" s="363">
        <f>FORECAST(I5,F35:H35,F5:H5)</f>
        <v>0</v>
      </c>
      <c r="J35" s="363">
        <f>FORECAST(J5,F35:I35,F5:I5)</f>
        <v>0</v>
      </c>
      <c r="K35" s="363">
        <f>FORECAST(K5,F35:J35,F5:J5)</f>
        <v>0</v>
      </c>
      <c r="L35" s="363">
        <f>FORECAST(L5,F35:K35,F5:K5)</f>
        <v>0</v>
      </c>
      <c r="M35" s="364">
        <f>FORECAST(M5,F35:L35,F5:L5)</f>
        <v>0</v>
      </c>
      <c r="N35" s="103"/>
      <c r="O35" s="103"/>
      <c r="P35" s="103"/>
      <c r="Q35" s="103"/>
      <c r="R35" s="103"/>
      <c r="S35" s="103"/>
      <c r="T35" s="103"/>
      <c r="U35" s="103"/>
      <c r="V35" s="103"/>
      <c r="W35" s="1"/>
      <c r="X35" s="1"/>
      <c r="Y35" s="1"/>
      <c r="Z35" s="1"/>
      <c r="AA35" s="1"/>
    </row>
    <row r="36" spans="1:27" ht="12.75">
      <c r="A36" s="103"/>
      <c r="B36" s="103"/>
      <c r="C36" s="103"/>
      <c r="D36" s="397" t="s">
        <v>60</v>
      </c>
      <c r="E36" s="398"/>
      <c r="F36" s="399">
        <v>-27107.402999999998</v>
      </c>
      <c r="G36" s="399">
        <v>-36952.044999999998</v>
      </c>
      <c r="H36" s="399">
        <v>-51082.898000000001</v>
      </c>
      <c r="I36" s="400">
        <v>-51064.347000000023</v>
      </c>
      <c r="J36" s="400">
        <v>-51871.214350000024</v>
      </c>
      <c r="K36" s="400">
        <v>-52784.025067500013</v>
      </c>
      <c r="L36" s="400"/>
      <c r="M36" s="401"/>
      <c r="N36" s="103"/>
      <c r="O36" s="103"/>
      <c r="P36" s="103"/>
      <c r="Q36" s="103"/>
      <c r="R36" s="103"/>
      <c r="S36" s="103"/>
      <c r="T36" s="103"/>
      <c r="U36" s="103"/>
      <c r="V36" s="103"/>
      <c r="W36" s="1"/>
      <c r="X36" s="1"/>
      <c r="Y36" s="1"/>
      <c r="Z36" s="1"/>
      <c r="AA36" s="1"/>
    </row>
    <row r="37" spans="1:27" ht="13.5" thickBot="1">
      <c r="A37" s="103"/>
      <c r="B37" s="103"/>
      <c r="C37" s="103"/>
      <c r="D37" s="402" t="s">
        <v>61</v>
      </c>
      <c r="E37" s="392"/>
      <c r="F37" s="376">
        <f t="shared" ref="F37:G37" si="16">F30+F36</f>
        <v>17091.597000000002</v>
      </c>
      <c r="G37" s="376">
        <f t="shared" si="16"/>
        <v>15874.433000000005</v>
      </c>
      <c r="H37" s="376">
        <f>H30+H36</f>
        <v>15181.241999999998</v>
      </c>
      <c r="I37" s="377">
        <f>I19</f>
        <v>19478.430783333373</v>
      </c>
      <c r="J37" s="377">
        <f t="shared" ref="J37:M37" si="17">J19</f>
        <v>22490.827595833052</v>
      </c>
      <c r="K37" s="377">
        <f t="shared" si="17"/>
        <v>25602.858888457966</v>
      </c>
      <c r="L37" s="377">
        <f t="shared" si="17"/>
        <v>28832.354516045405</v>
      </c>
      <c r="M37" s="393">
        <f t="shared" si="17"/>
        <v>32198.439454722036</v>
      </c>
      <c r="N37" s="103"/>
      <c r="O37" s="103"/>
      <c r="P37" s="103"/>
      <c r="Q37" s="103"/>
      <c r="R37" s="103"/>
      <c r="S37" s="103"/>
      <c r="T37" s="103"/>
      <c r="U37" s="103"/>
      <c r="V37" s="103"/>
      <c r="W37" s="1"/>
      <c r="X37" s="1"/>
      <c r="Y37" s="1"/>
      <c r="Z37" s="1"/>
      <c r="AA37" s="1"/>
    </row>
    <row r="38" spans="1:27" ht="13.5" thickTop="1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"/>
      <c r="X38" s="1"/>
      <c r="Y38" s="1"/>
      <c r="Z38" s="1"/>
      <c r="AA38" s="1"/>
    </row>
    <row r="39" spans="1:27" ht="12.75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"/>
      <c r="X39" s="1"/>
      <c r="Y39" s="1"/>
      <c r="Z39" s="1"/>
      <c r="AA39" s="1"/>
    </row>
    <row r="40" spans="1:27" ht="12.75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"/>
      <c r="X40" s="1"/>
      <c r="Y40" s="1"/>
      <c r="Z40" s="1"/>
      <c r="AA40" s="1"/>
    </row>
    <row r="41" spans="1:27" ht="12.75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"/>
      <c r="X41" s="1"/>
      <c r="Y41" s="1"/>
      <c r="Z41" s="1"/>
      <c r="AA41" s="1"/>
    </row>
    <row r="42" spans="1:27" ht="12.75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"/>
      <c r="X42" s="1"/>
      <c r="Y42" s="1"/>
      <c r="Z42" s="1"/>
      <c r="AA42" s="1"/>
    </row>
    <row r="43" spans="1:27" ht="12.75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"/>
      <c r="X43" s="1"/>
      <c r="Y43" s="1"/>
      <c r="Z43" s="1"/>
      <c r="AA43" s="1"/>
    </row>
    <row r="44" spans="1:27" ht="12.75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"/>
      <c r="X44" s="1"/>
      <c r="Y44" s="1"/>
      <c r="Z44" s="1"/>
      <c r="AA44" s="1"/>
    </row>
    <row r="45" spans="1:27" ht="12.75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"/>
      <c r="X45" s="1"/>
      <c r="Y45" s="1"/>
      <c r="Z45" s="1"/>
      <c r="AA45" s="1"/>
    </row>
    <row r="46" spans="1:27" ht="12.75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"/>
      <c r="X46" s="1"/>
      <c r="Y46" s="1"/>
      <c r="Z46" s="1"/>
      <c r="AA46" s="1"/>
    </row>
    <row r="47" spans="1:27" ht="12.75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"/>
      <c r="X47" s="1"/>
      <c r="Y47" s="1"/>
      <c r="Z47" s="1"/>
      <c r="AA47" s="1"/>
    </row>
    <row r="48" spans="1:27" ht="12.75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"/>
      <c r="X48" s="1"/>
      <c r="Y48" s="1"/>
      <c r="Z48" s="1"/>
      <c r="AA48" s="1"/>
    </row>
    <row r="49" spans="1:27" ht="12.75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"/>
      <c r="X49" s="1"/>
      <c r="Y49" s="1"/>
      <c r="Z49" s="1"/>
      <c r="AA49" s="1"/>
    </row>
    <row r="50" spans="1:27" ht="12.75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"/>
      <c r="X50" s="1"/>
      <c r="Y50" s="1"/>
      <c r="Z50" s="1"/>
      <c r="AA50" s="1"/>
    </row>
    <row r="51" spans="1:27" ht="12.75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"/>
      <c r="X51" s="1"/>
      <c r="Y51" s="1"/>
      <c r="Z51" s="1"/>
      <c r="AA51" s="1"/>
    </row>
    <row r="52" spans="1:27" ht="12.75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"/>
      <c r="X52" s="1"/>
      <c r="Y52" s="1"/>
      <c r="Z52" s="1"/>
      <c r="AA52" s="1"/>
    </row>
    <row r="53" spans="1:27" ht="12.75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"/>
      <c r="X53" s="1"/>
      <c r="Y53" s="1"/>
      <c r="Z53" s="1"/>
      <c r="AA53" s="1"/>
    </row>
    <row r="54" spans="1:27" ht="12.75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"/>
      <c r="X54" s="1"/>
      <c r="Y54" s="1"/>
      <c r="Z54" s="1"/>
      <c r="AA54" s="1"/>
    </row>
    <row r="55" spans="1:27" ht="12.75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"/>
      <c r="X55" s="1"/>
      <c r="Y55" s="1"/>
      <c r="Z55" s="1"/>
      <c r="AA55" s="1"/>
    </row>
    <row r="56" spans="1:27" ht="12.75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"/>
      <c r="X56" s="1"/>
      <c r="Y56" s="1"/>
      <c r="Z56" s="1"/>
      <c r="AA56" s="1"/>
    </row>
    <row r="57" spans="1:27" ht="12.75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"/>
      <c r="X57" s="1"/>
      <c r="Y57" s="1"/>
      <c r="Z57" s="1"/>
      <c r="AA57" s="1"/>
    </row>
    <row r="58" spans="1:27" ht="12.75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"/>
      <c r="X58" s="1"/>
      <c r="Y58" s="1"/>
      <c r="Z58" s="1"/>
      <c r="AA58" s="1"/>
    </row>
    <row r="59" spans="1:27" ht="12.75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"/>
      <c r="X59" s="1"/>
      <c r="Y59" s="1"/>
      <c r="Z59" s="1"/>
      <c r="AA59" s="1"/>
    </row>
    <row r="60" spans="1:27" ht="12.75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03"/>
      <c r="B89" s="103"/>
      <c r="C89" s="10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03"/>
      <c r="B90" s="103"/>
      <c r="C90" s="10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03"/>
      <c r="B91" s="103"/>
      <c r="C91" s="10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03"/>
      <c r="B92" s="103"/>
      <c r="C92" s="10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03"/>
      <c r="B93" s="103"/>
      <c r="C93" s="10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03"/>
      <c r="B94" s="103"/>
      <c r="C94" s="10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03"/>
      <c r="B95" s="103"/>
      <c r="C95" s="10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03"/>
      <c r="B96" s="103"/>
      <c r="C96" s="10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03"/>
      <c r="B97" s="103"/>
      <c r="C97" s="10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03"/>
      <c r="B98" s="103"/>
      <c r="C98" s="10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03"/>
      <c r="B99" s="103"/>
      <c r="C99" s="10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03"/>
      <c r="B100" s="103"/>
      <c r="C100" s="10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03"/>
      <c r="B101" s="103"/>
      <c r="C101" s="10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03"/>
      <c r="B102" s="103"/>
      <c r="C102" s="10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03"/>
      <c r="B103" s="103"/>
      <c r="C103" s="10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03"/>
      <c r="B104" s="103"/>
      <c r="C104" s="10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03"/>
      <c r="B105" s="103"/>
      <c r="C105" s="10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03"/>
      <c r="B106" s="103"/>
      <c r="C106" s="10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03"/>
      <c r="B107" s="103"/>
      <c r="C107" s="10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03"/>
      <c r="B108" s="103"/>
      <c r="C108" s="10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03"/>
      <c r="B109" s="103"/>
      <c r="C109" s="10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03"/>
      <c r="B110" s="103"/>
      <c r="C110" s="10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03"/>
      <c r="B111" s="103"/>
      <c r="C111" s="10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03"/>
      <c r="B112" s="103"/>
      <c r="C112" s="10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03"/>
      <c r="B113" s="103"/>
      <c r="C113" s="10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03"/>
      <c r="B114" s="103"/>
      <c r="C114" s="10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03"/>
      <c r="B115" s="103"/>
      <c r="C115" s="10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">
    <mergeCell ref="I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 summaryRight="0"/>
  </sheetPr>
  <dimension ref="A1:N58"/>
  <sheetViews>
    <sheetView showGridLines="0" topLeftCell="B40" zoomScale="115" zoomScaleNormal="115" workbookViewId="0">
      <selection activeCell="C66" sqref="C66"/>
    </sheetView>
  </sheetViews>
  <sheetFormatPr defaultColWidth="12.7109375" defaultRowHeight="15.75" customHeight="1"/>
  <cols>
    <col min="3" max="3" width="27.85546875" customWidth="1"/>
    <col min="9" max="9" width="13.140625" bestFit="1" customWidth="1"/>
    <col min="10" max="12" width="14.28515625" bestFit="1" customWidth="1"/>
  </cols>
  <sheetData>
    <row r="1" spans="1:14" ht="13.5" thickBot="1">
      <c r="A1" s="103"/>
      <c r="B1" s="103"/>
      <c r="C1" s="111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4" ht="12.75">
      <c r="A2" s="103"/>
      <c r="B2" s="103"/>
      <c r="C2" s="136" t="s">
        <v>230</v>
      </c>
      <c r="D2" s="137"/>
      <c r="E2" s="137"/>
      <c r="F2" s="137"/>
      <c r="G2" s="137"/>
      <c r="H2" s="265" t="s">
        <v>220</v>
      </c>
      <c r="I2" s="265"/>
      <c r="J2" s="266">
        <v>78344</v>
      </c>
      <c r="K2" s="137"/>
      <c r="L2" s="138"/>
      <c r="M2" s="103"/>
      <c r="N2" s="103"/>
    </row>
    <row r="3" spans="1:14" ht="12.75">
      <c r="A3" s="103"/>
      <c r="B3" s="103"/>
      <c r="C3" s="126" t="s">
        <v>209</v>
      </c>
      <c r="D3" s="123"/>
      <c r="E3" s="139"/>
      <c r="F3" s="139"/>
      <c r="G3" s="139"/>
      <c r="H3" s="140"/>
      <c r="I3" s="140"/>
      <c r="J3" s="140"/>
      <c r="K3" s="140"/>
      <c r="L3" s="141"/>
      <c r="M3" s="103"/>
      <c r="N3" s="103"/>
    </row>
    <row r="4" spans="1:14" ht="12.75">
      <c r="A4" s="103"/>
      <c r="B4" s="103"/>
      <c r="C4" s="142"/>
      <c r="D4" s="143"/>
      <c r="E4" s="7"/>
      <c r="F4" s="7"/>
      <c r="G4" s="7"/>
      <c r="H4" s="598" t="s">
        <v>0</v>
      </c>
      <c r="I4" s="599"/>
      <c r="J4" s="599"/>
      <c r="K4" s="599"/>
      <c r="L4" s="600"/>
      <c r="M4" s="103"/>
      <c r="N4" s="103"/>
    </row>
    <row r="5" spans="1:14" ht="12.75">
      <c r="A5" s="103"/>
      <c r="B5" s="103"/>
      <c r="C5" s="144"/>
      <c r="D5" s="143"/>
      <c r="E5" s="145">
        <v>2021</v>
      </c>
      <c r="F5" s="145">
        <v>2022</v>
      </c>
      <c r="G5" s="8">
        <v>2023</v>
      </c>
      <c r="H5" s="145">
        <v>2024</v>
      </c>
      <c r="I5" s="145">
        <v>2025</v>
      </c>
      <c r="J5" s="145">
        <v>2026</v>
      </c>
      <c r="K5" s="145">
        <v>2027</v>
      </c>
      <c r="L5" s="146">
        <v>2028</v>
      </c>
      <c r="M5" s="103"/>
      <c r="N5" s="103"/>
    </row>
    <row r="6" spans="1:14" ht="12.75">
      <c r="A6" s="103"/>
      <c r="B6" s="103"/>
      <c r="C6" s="122" t="s">
        <v>1</v>
      </c>
      <c r="D6" s="123"/>
      <c r="E6" s="147">
        <v>13165</v>
      </c>
      <c r="F6" s="147">
        <v>15000</v>
      </c>
      <c r="G6" s="10">
        <v>58470</v>
      </c>
      <c r="H6" s="148">
        <f>82470*(1+'Scenario Analysis'!I41)</f>
        <v>82470</v>
      </c>
      <c r="I6" s="148">
        <v>94840.5</v>
      </c>
      <c r="J6" s="148">
        <v>109066.57499999997</v>
      </c>
      <c r="K6" s="148">
        <v>125426.56124999996</v>
      </c>
      <c r="L6" s="149">
        <v>144240.54543749994</v>
      </c>
      <c r="M6" s="103"/>
      <c r="N6" s="194"/>
    </row>
    <row r="7" spans="1:14" ht="12.75">
      <c r="A7" s="103"/>
      <c r="B7" s="103"/>
      <c r="C7" s="130" t="s">
        <v>2</v>
      </c>
      <c r="D7" s="12"/>
      <c r="E7" s="13">
        <v>-1360</v>
      </c>
      <c r="F7" s="13">
        <v>-4806</v>
      </c>
      <c r="G7" s="14">
        <v>-5413.6</v>
      </c>
      <c r="H7" s="128">
        <f>G7*(1+'Scenario Analysis'!I42%)</f>
        <v>-5419.0135999999993</v>
      </c>
      <c r="I7" s="128">
        <f>H7*(1+'Scenario Analysis'!J42)</f>
        <v>-5960.9149600000001</v>
      </c>
      <c r="J7" s="128">
        <f>I7*(1+'Scenario Analysis'!K42)</f>
        <v>-6855.0522039999996</v>
      </c>
      <c r="K7" s="128">
        <f>J7*(1+'Scenario Analysis'!L42)</f>
        <v>-8226.0626447999985</v>
      </c>
      <c r="L7" s="129">
        <f>K7*(1+'Scenario Analysis'!M42)</f>
        <v>-9871.2751737599974</v>
      </c>
      <c r="M7" s="103"/>
      <c r="N7" s="194"/>
    </row>
    <row r="8" spans="1:14" ht="12.75">
      <c r="A8" s="103"/>
      <c r="B8" s="103"/>
      <c r="C8" s="122" t="s">
        <v>3</v>
      </c>
      <c r="D8" s="131"/>
      <c r="E8" s="150">
        <f t="shared" ref="E8:L8" si="0">E6+E7</f>
        <v>11805</v>
      </c>
      <c r="F8" s="150">
        <f t="shared" si="0"/>
        <v>10194</v>
      </c>
      <c r="G8" s="150">
        <f>G6+G7</f>
        <v>53056.4</v>
      </c>
      <c r="H8" s="18">
        <f t="shared" si="0"/>
        <v>77050.986399999994</v>
      </c>
      <c r="I8" s="19">
        <f t="shared" si="0"/>
        <v>88879.585040000005</v>
      </c>
      <c r="J8" s="19">
        <f t="shared" si="0"/>
        <v>102211.52279599998</v>
      </c>
      <c r="K8" s="19">
        <f t="shared" si="0"/>
        <v>117200.49860519996</v>
      </c>
      <c r="L8" s="151">
        <f t="shared" si="0"/>
        <v>134369.27026373995</v>
      </c>
      <c r="M8" s="103"/>
      <c r="N8" s="194"/>
    </row>
    <row r="9" spans="1:14" ht="12.75">
      <c r="A9" s="103"/>
      <c r="B9" s="103"/>
      <c r="C9" s="126" t="s">
        <v>4</v>
      </c>
      <c r="D9" s="123"/>
      <c r="E9" s="152"/>
      <c r="F9" s="152"/>
      <c r="G9" s="20"/>
      <c r="H9" s="152"/>
      <c r="I9" s="152"/>
      <c r="J9" s="152"/>
      <c r="K9" s="152"/>
      <c r="L9" s="153"/>
      <c r="M9" s="103"/>
      <c r="N9" s="194"/>
    </row>
    <row r="10" spans="1:14" ht="12.75">
      <c r="A10" s="103"/>
      <c r="B10" s="103"/>
      <c r="C10" s="126" t="s">
        <v>5</v>
      </c>
      <c r="D10" s="123"/>
      <c r="E10" s="154">
        <v>-908.505</v>
      </c>
      <c r="F10" s="154">
        <f>-1307</f>
        <v>-1307</v>
      </c>
      <c r="G10" s="21">
        <v>-2670.105</v>
      </c>
      <c r="H10" s="128">
        <f>G10*(1+'Scenario Analysis'!I46)</f>
        <v>-3070.6207499999996</v>
      </c>
      <c r="I10" s="128">
        <f>H10*(1+'Scenario Analysis'!J46)</f>
        <v>-3531.2138624999993</v>
      </c>
      <c r="J10" s="128">
        <f>I10*(1+'Scenario Analysis'!K46)</f>
        <v>-3884.3352487499997</v>
      </c>
      <c r="K10" s="128">
        <f>J10*(1+'Scenario Analysis'!L46)</f>
        <v>-4272.768773625</v>
      </c>
      <c r="L10" s="128">
        <f>K10*(1+'Scenario Analysis'!M46)</f>
        <v>-4486.4072123062506</v>
      </c>
      <c r="M10" s="103"/>
      <c r="N10" s="103"/>
    </row>
    <row r="11" spans="1:14" ht="12.75">
      <c r="A11" s="103"/>
      <c r="B11" s="103"/>
      <c r="C11" s="126" t="s">
        <v>212</v>
      </c>
      <c r="D11" s="123"/>
      <c r="E11" s="154">
        <v>-2513.4949999999994</v>
      </c>
      <c r="F11" s="154">
        <f>-10059*(1-15%)</f>
        <v>-8550.15</v>
      </c>
      <c r="G11" s="21">
        <v>-10736</v>
      </c>
      <c r="H11" s="128">
        <f>G11*(1+'Scenario Analysis'!I46)</f>
        <v>-12346.4</v>
      </c>
      <c r="I11" s="128">
        <f>H11*(1+'Scenario Analysis'!J46)</f>
        <v>-14198.359999999999</v>
      </c>
      <c r="J11" s="128">
        <f>I11*(1+'Scenario Analysis'!K46)</f>
        <v>-15618.196</v>
      </c>
      <c r="K11" s="128">
        <f>J11*(1+'Scenario Analysis'!L46)</f>
        <v>-17180.015600000002</v>
      </c>
      <c r="L11" s="128">
        <f>K11*(1+'Scenario Analysis'!M46)</f>
        <v>-18039.016380000005</v>
      </c>
      <c r="M11" s="103"/>
      <c r="N11" s="103"/>
    </row>
    <row r="12" spans="1:14" ht="12.75">
      <c r="A12" s="103"/>
      <c r="B12" s="103"/>
      <c r="C12" s="126" t="s">
        <v>7</v>
      </c>
      <c r="D12" s="123"/>
      <c r="E12" s="154">
        <v>-1532</v>
      </c>
      <c r="F12" s="154">
        <v>-8744.85</v>
      </c>
      <c r="G12" s="21">
        <f>-4648</f>
        <v>-4648</v>
      </c>
      <c r="H12" s="128">
        <f>G12*(1+'Scenario Analysis'!I43)</f>
        <v>-5345.2</v>
      </c>
      <c r="I12" s="128">
        <f>H12*(1+'Scenario Analysis'!J43)</f>
        <v>-6146.98</v>
      </c>
      <c r="J12" s="128">
        <f>I12*(1+'Scenario Analysis'!K43)</f>
        <v>-7069.0269999999991</v>
      </c>
      <c r="K12" s="128">
        <f>J12*(1+'Scenario Analysis'!L43)</f>
        <v>-8129.3810499999981</v>
      </c>
      <c r="L12" s="128">
        <f>K12*(1+'Scenario Analysis'!M43)</f>
        <v>-9348.788207499998</v>
      </c>
      <c r="M12" s="103"/>
      <c r="N12" s="103"/>
    </row>
    <row r="13" spans="1:14" ht="12.75">
      <c r="A13" s="103"/>
      <c r="B13" s="103"/>
      <c r="C13" s="126" t="s">
        <v>302</v>
      </c>
      <c r="D13" s="123"/>
      <c r="E13" s="155"/>
      <c r="F13" s="155"/>
      <c r="G13" s="155"/>
      <c r="H13" s="22">
        <v>-53516.366833333013</v>
      </c>
      <c r="I13" s="22"/>
      <c r="J13" s="22"/>
      <c r="K13" s="22"/>
      <c r="L13" s="156"/>
      <c r="M13" s="103"/>
      <c r="N13" s="103"/>
    </row>
    <row r="14" spans="1:14" ht="12.75">
      <c r="A14" s="103"/>
      <c r="B14" s="103"/>
      <c r="C14" s="130" t="s">
        <v>9</v>
      </c>
      <c r="D14" s="12"/>
      <c r="E14" s="25">
        <f>-3594</f>
        <v>-3594</v>
      </c>
      <c r="F14" s="25">
        <f>-11422</f>
        <v>-11422</v>
      </c>
      <c r="G14" s="25">
        <v>-19679</v>
      </c>
      <c r="H14" s="26">
        <f>SUM(H10:H13)</f>
        <v>-74278.587583333021</v>
      </c>
      <c r="I14" s="25">
        <f>SUM(I10:I12)</f>
        <v>-23876.553862499997</v>
      </c>
      <c r="J14" s="25">
        <f>SUM(J10:J12)</f>
        <v>-26571.558248749996</v>
      </c>
      <c r="K14" s="25">
        <f>SUM(K10:K12)</f>
        <v>-29582.165423625003</v>
      </c>
      <c r="L14" s="157">
        <f>SUM(L10:L12)</f>
        <v>-31874.211799806253</v>
      </c>
      <c r="M14" s="103"/>
      <c r="N14" s="103"/>
    </row>
    <row r="15" spans="1:14" ht="12.75">
      <c r="A15" s="103"/>
      <c r="B15" s="104"/>
      <c r="C15" s="122" t="s">
        <v>10</v>
      </c>
      <c r="D15" s="131"/>
      <c r="E15" s="150">
        <f t="shared" ref="E15:L15" si="1">E8+E14</f>
        <v>8211</v>
      </c>
      <c r="F15" s="150">
        <f t="shared" si="1"/>
        <v>-1228</v>
      </c>
      <c r="G15" s="150">
        <f t="shared" si="1"/>
        <v>33377.4</v>
      </c>
      <c r="H15" s="27">
        <f t="shared" si="1"/>
        <v>2772.3988166669733</v>
      </c>
      <c r="I15" s="150">
        <f t="shared" si="1"/>
        <v>65003.031177500008</v>
      </c>
      <c r="J15" s="150">
        <f t="shared" si="1"/>
        <v>75639.964547249983</v>
      </c>
      <c r="K15" s="150">
        <f t="shared" si="1"/>
        <v>87618.333181574955</v>
      </c>
      <c r="L15" s="158">
        <f t="shared" si="1"/>
        <v>102495.0584639337</v>
      </c>
      <c r="M15" s="103"/>
      <c r="N15" s="103"/>
    </row>
    <row r="16" spans="1:14" ht="12.75">
      <c r="A16" s="103"/>
      <c r="B16" s="103"/>
      <c r="C16" s="126" t="s">
        <v>11</v>
      </c>
      <c r="D16" s="123"/>
      <c r="E16" s="154">
        <v>-6</v>
      </c>
      <c r="F16" s="154">
        <v>-44</v>
      </c>
      <c r="G16" s="154">
        <v>-784.02</v>
      </c>
      <c r="H16" s="28">
        <f>FORECAST(H5,E16:G16,E5:G5)</f>
        <v>-1056.0266666667303</v>
      </c>
      <c r="I16" s="128">
        <f>FORECAST(I5,E16:H16,E5:H5)</f>
        <v>-1445.0366666667396</v>
      </c>
      <c r="J16" s="128">
        <f>I16*(1-5%)</f>
        <v>-1372.7848333334025</v>
      </c>
      <c r="K16" s="128">
        <f t="shared" ref="K16:L16" si="2">J16*(1-5%)</f>
        <v>-1304.1455916667323</v>
      </c>
      <c r="L16" s="129">
        <f t="shared" si="2"/>
        <v>-1238.9383120833957</v>
      </c>
      <c r="M16" s="103"/>
      <c r="N16" s="103"/>
    </row>
    <row r="17" spans="1:14" ht="12.75">
      <c r="A17" s="103"/>
      <c r="B17" s="103"/>
      <c r="C17" s="126" t="s">
        <v>12</v>
      </c>
      <c r="D17" s="123"/>
      <c r="E17" s="152">
        <f t="shared" ref="E17:L17" si="3">E15+E16</f>
        <v>8205</v>
      </c>
      <c r="F17" s="152">
        <f t="shared" si="3"/>
        <v>-1272</v>
      </c>
      <c r="G17" s="152">
        <f t="shared" si="3"/>
        <v>32593.38</v>
      </c>
      <c r="H17" s="29">
        <f>H15+H16</f>
        <v>1716.372150000243</v>
      </c>
      <c r="I17" s="152">
        <f t="shared" si="3"/>
        <v>63557.994510833269</v>
      </c>
      <c r="J17" s="152">
        <f t="shared" si="3"/>
        <v>74267.179713916586</v>
      </c>
      <c r="K17" s="152">
        <f t="shared" si="3"/>
        <v>86314.187589908222</v>
      </c>
      <c r="L17" s="153">
        <f t="shared" si="3"/>
        <v>101256.12015185031</v>
      </c>
      <c r="M17" s="103"/>
      <c r="N17" s="103"/>
    </row>
    <row r="18" spans="1:14" ht="12.75">
      <c r="A18" s="103"/>
      <c r="B18" s="103"/>
      <c r="C18" s="130" t="s">
        <v>13</v>
      </c>
      <c r="D18" s="12"/>
      <c r="E18" s="30">
        <v>-6327</v>
      </c>
      <c r="F18" s="30">
        <v>-4034</v>
      </c>
      <c r="G18" s="30">
        <f>-10939</f>
        <v>-10939</v>
      </c>
      <c r="H18" s="31">
        <f>-AVEDEV(E18:G18)*(1+30%)</f>
        <v>-3327.1333333333337</v>
      </c>
      <c r="I18" s="31">
        <f t="shared" ref="I18:L18" si="4">-AVEDEV(F18:H18)*(1+30%)</f>
        <v>-4193.7614814814815</v>
      </c>
      <c r="J18" s="31">
        <f t="shared" si="4"/>
        <v>-4147.6081646090533</v>
      </c>
      <c r="K18" s="31">
        <f t="shared" si="4"/>
        <v>-487.38530516689502</v>
      </c>
      <c r="L18" s="159">
        <f t="shared" si="4"/>
        <v>-2128.1286103297261</v>
      </c>
      <c r="M18" s="103"/>
      <c r="N18" s="103"/>
    </row>
    <row r="19" spans="1:14" ht="12.75">
      <c r="A19" s="103"/>
      <c r="B19" s="103"/>
      <c r="C19" s="122" t="s">
        <v>14</v>
      </c>
      <c r="D19" s="131"/>
      <c r="E19" s="150">
        <f t="shared" ref="E19:L19" si="5">E17+E18</f>
        <v>1878</v>
      </c>
      <c r="F19" s="150">
        <f t="shared" si="5"/>
        <v>-5306</v>
      </c>
      <c r="G19" s="150">
        <f>-14201</f>
        <v>-14201</v>
      </c>
      <c r="H19" s="27">
        <f t="shared" si="5"/>
        <v>-1610.7611833330907</v>
      </c>
      <c r="I19" s="150">
        <f t="shared" si="5"/>
        <v>59364.233029351788</v>
      </c>
      <c r="J19" s="150">
        <f t="shared" si="5"/>
        <v>70119.571549307526</v>
      </c>
      <c r="K19" s="150">
        <f>K17+K18</f>
        <v>85826.802284741323</v>
      </c>
      <c r="L19" s="158">
        <f t="shared" si="5"/>
        <v>99127.991541520576</v>
      </c>
      <c r="M19" s="103"/>
      <c r="N19" s="103"/>
    </row>
    <row r="20" spans="1:14" ht="12.75">
      <c r="A20" s="103"/>
      <c r="B20" s="103"/>
      <c r="C20" s="132"/>
      <c r="D20" s="123"/>
      <c r="E20" s="123"/>
      <c r="F20" s="123"/>
      <c r="G20" s="34"/>
      <c r="H20" s="152"/>
      <c r="I20" s="123"/>
      <c r="J20" s="123"/>
      <c r="K20" s="123"/>
      <c r="L20" s="125"/>
      <c r="M20" s="103"/>
      <c r="N20" s="103"/>
    </row>
    <row r="21" spans="1:14" ht="12.75">
      <c r="A21" s="103"/>
      <c r="B21" s="103"/>
      <c r="C21" s="122" t="s">
        <v>15</v>
      </c>
      <c r="D21" s="123"/>
      <c r="E21" s="123"/>
      <c r="F21" s="123"/>
      <c r="G21" s="34"/>
      <c r="H21" s="123"/>
      <c r="I21" s="123"/>
      <c r="J21" s="123"/>
      <c r="K21" s="123"/>
      <c r="L21" s="125"/>
      <c r="M21" s="103"/>
      <c r="N21" s="103"/>
    </row>
    <row r="22" spans="1:14" ht="12.75">
      <c r="A22" s="103"/>
      <c r="B22" s="103"/>
      <c r="C22" s="126" t="s">
        <v>16</v>
      </c>
      <c r="D22" s="160"/>
      <c r="E22" s="161">
        <f t="shared" ref="E22:L22" si="6">E19/E26</f>
        <v>0.65802382620882971</v>
      </c>
      <c r="F22" s="161">
        <f t="shared" si="6"/>
        <v>-1.8611013679410733</v>
      </c>
      <c r="G22" s="161">
        <f t="shared" si="6"/>
        <v>-5.0447602131438725</v>
      </c>
      <c r="H22" s="35">
        <f t="shared" si="6"/>
        <v>-2.0560109048977468E-2</v>
      </c>
      <c r="I22" s="162">
        <f t="shared" si="6"/>
        <v>0.75773809135800807</v>
      </c>
      <c r="J22" s="162">
        <f t="shared" si="6"/>
        <v>0.89502159130638625</v>
      </c>
      <c r="K22" s="162">
        <f t="shared" si="6"/>
        <v>1.095512129642874</v>
      </c>
      <c r="L22" s="163">
        <f t="shared" si="6"/>
        <v>1.2652914268038469</v>
      </c>
      <c r="M22" s="103"/>
      <c r="N22" s="103"/>
    </row>
    <row r="23" spans="1:14" ht="12.75">
      <c r="A23" s="103"/>
      <c r="B23" s="103"/>
      <c r="C23" s="126" t="s">
        <v>17</v>
      </c>
      <c r="D23" s="160"/>
      <c r="E23" s="161">
        <f t="shared" ref="E23:L23" si="7">E19/E27</f>
        <v>0.652990264255911</v>
      </c>
      <c r="F23" s="161">
        <f t="shared" si="7"/>
        <v>-1.8372576177285318</v>
      </c>
      <c r="G23" s="161">
        <f t="shared" si="7"/>
        <v>-0.1812646788522414</v>
      </c>
      <c r="H23" s="35">
        <f t="shared" si="7"/>
        <v>-2.0560109048977468E-2</v>
      </c>
      <c r="I23" s="162">
        <f t="shared" si="7"/>
        <v>0.75773809135800807</v>
      </c>
      <c r="J23" s="162">
        <f t="shared" si="7"/>
        <v>0.89502159130638625</v>
      </c>
      <c r="K23" s="162">
        <f t="shared" si="7"/>
        <v>1.095512129642874</v>
      </c>
      <c r="L23" s="163">
        <f t="shared" si="7"/>
        <v>1.2652914268038469</v>
      </c>
      <c r="M23" s="103"/>
      <c r="N23" s="103"/>
    </row>
    <row r="24" spans="1:14" ht="12.75">
      <c r="A24" s="103"/>
      <c r="B24" s="103"/>
      <c r="C24" s="132"/>
      <c r="D24" s="123"/>
      <c r="E24" s="123"/>
      <c r="F24" s="123"/>
      <c r="G24" s="34"/>
      <c r="H24" s="164"/>
      <c r="I24" s="164"/>
      <c r="J24" s="164"/>
      <c r="K24" s="164"/>
      <c r="L24" s="165"/>
      <c r="M24" s="103"/>
      <c r="N24" s="103"/>
    </row>
    <row r="25" spans="1:14" ht="12.75">
      <c r="A25" s="103"/>
      <c r="B25" s="103"/>
      <c r="C25" s="122" t="s">
        <v>18</v>
      </c>
      <c r="D25" s="123"/>
      <c r="E25" s="123"/>
      <c r="F25" s="123"/>
      <c r="G25" s="34"/>
      <c r="H25" s="164"/>
      <c r="I25" s="164"/>
      <c r="J25" s="164"/>
      <c r="K25" s="166"/>
      <c r="L25" s="165"/>
      <c r="M25" s="103"/>
      <c r="N25" s="103"/>
    </row>
    <row r="26" spans="1:14" ht="12.75">
      <c r="A26" s="103"/>
      <c r="B26" s="103"/>
      <c r="C26" s="126" t="s">
        <v>16</v>
      </c>
      <c r="D26" s="123"/>
      <c r="E26" s="154">
        <v>2854</v>
      </c>
      <c r="F26" s="154">
        <v>2851</v>
      </c>
      <c r="G26" s="21">
        <v>2815</v>
      </c>
      <c r="H26" s="128">
        <f>H27</f>
        <v>78344</v>
      </c>
      <c r="I26" s="128">
        <f t="shared" ref="I26:L26" si="8">I27</f>
        <v>78344</v>
      </c>
      <c r="J26" s="128">
        <f t="shared" si="8"/>
        <v>78344</v>
      </c>
      <c r="K26" s="128">
        <f t="shared" si="8"/>
        <v>78344</v>
      </c>
      <c r="L26" s="128">
        <f t="shared" si="8"/>
        <v>78344</v>
      </c>
      <c r="M26" s="103"/>
      <c r="N26" s="103"/>
    </row>
    <row r="27" spans="1:14" ht="12.75">
      <c r="A27" s="103"/>
      <c r="B27" s="103"/>
      <c r="C27" s="126" t="s">
        <v>17</v>
      </c>
      <c r="D27" s="123"/>
      <c r="E27" s="154">
        <v>2876</v>
      </c>
      <c r="F27" s="154">
        <v>2888</v>
      </c>
      <c r="G27" s="21">
        <f>J2</f>
        <v>78344</v>
      </c>
      <c r="H27" s="21">
        <v>78344</v>
      </c>
      <c r="I27" s="21">
        <v>78344</v>
      </c>
      <c r="J27" s="21">
        <v>78344</v>
      </c>
      <c r="K27" s="21">
        <v>78344</v>
      </c>
      <c r="L27" s="167">
        <v>78344</v>
      </c>
      <c r="M27" s="103"/>
      <c r="N27" s="103"/>
    </row>
    <row r="28" spans="1:14" ht="12.75">
      <c r="A28" s="105"/>
      <c r="B28" s="103"/>
      <c r="C28" s="126"/>
      <c r="D28" s="123"/>
      <c r="E28" s="161"/>
      <c r="F28" s="168"/>
      <c r="G28" s="36"/>
      <c r="H28" s="164"/>
      <c r="I28" s="164"/>
      <c r="J28" s="164"/>
      <c r="K28" s="164"/>
      <c r="L28" s="165"/>
      <c r="M28" s="103"/>
      <c r="N28" s="103"/>
    </row>
    <row r="29" spans="1:14" ht="12.75">
      <c r="A29" s="105"/>
      <c r="B29" s="103"/>
      <c r="C29" s="122" t="s">
        <v>19</v>
      </c>
      <c r="D29" s="123"/>
      <c r="E29" s="161">
        <v>5</v>
      </c>
      <c r="F29" s="161">
        <v>4</v>
      </c>
      <c r="G29" s="161">
        <v>4.5999999999999996</v>
      </c>
      <c r="H29" s="37">
        <f>FORECAST(H5,E29:G29,E5:G5)</f>
        <v>4.1333333333333826</v>
      </c>
      <c r="I29" s="169">
        <f>FORECAST(I5,E29:H29,E5:H5)</f>
        <v>3.933333333333394</v>
      </c>
      <c r="J29" s="169">
        <f>FORECAST(J5,E29:I29,E5:I5)</f>
        <v>3.7333333333334622</v>
      </c>
      <c r="K29" s="169">
        <f>FORECAST(K5,E29:J29,E5:J5)</f>
        <v>3.5333333333334167</v>
      </c>
      <c r="L29" s="170">
        <f>FORECAST(L5,E29:K29,E5:K5)</f>
        <v>3.3333333333334849</v>
      </c>
      <c r="M29" s="103"/>
      <c r="N29" s="103"/>
    </row>
    <row r="30" spans="1:14" ht="12.75">
      <c r="A30" s="103"/>
      <c r="B30" s="103"/>
      <c r="C30" s="132"/>
      <c r="D30" s="123"/>
      <c r="E30" s="123"/>
      <c r="F30" s="123"/>
      <c r="G30" s="34"/>
      <c r="H30" s="164"/>
      <c r="I30" s="164"/>
      <c r="J30" s="164"/>
      <c r="K30" s="164"/>
      <c r="L30" s="165"/>
      <c r="M30" s="103"/>
      <c r="N30" s="103"/>
    </row>
    <row r="31" spans="1:14" ht="12.75">
      <c r="A31" s="103"/>
      <c r="B31" s="103"/>
      <c r="C31" s="126" t="s">
        <v>210</v>
      </c>
      <c r="D31" s="123"/>
      <c r="E31" s="123"/>
      <c r="F31" s="171">
        <f t="shared" ref="F31:L31" si="9">SUM(F6-E6)/E6</f>
        <v>0.13938473224458792</v>
      </c>
      <c r="G31" s="171">
        <f t="shared" si="9"/>
        <v>2.8980000000000001</v>
      </c>
      <c r="H31" s="39">
        <f t="shared" si="9"/>
        <v>0.41046690610569525</v>
      </c>
      <c r="I31" s="171">
        <f t="shared" si="9"/>
        <v>0.15</v>
      </c>
      <c r="J31" s="171">
        <f t="shared" si="9"/>
        <v>0.14999999999999966</v>
      </c>
      <c r="K31" s="171">
        <f t="shared" si="9"/>
        <v>0.14999999999999994</v>
      </c>
      <c r="L31" s="172">
        <f t="shared" si="9"/>
        <v>0.14999999999999991</v>
      </c>
      <c r="M31" s="103"/>
      <c r="N31" s="103"/>
    </row>
    <row r="32" spans="1:14" ht="12.75">
      <c r="A32" s="103"/>
      <c r="B32" s="103"/>
      <c r="C32" s="132"/>
      <c r="D32" s="123"/>
      <c r="E32" s="123"/>
      <c r="F32" s="123"/>
      <c r="G32" s="34"/>
      <c r="H32" s="164"/>
      <c r="I32" s="164"/>
      <c r="J32" s="164"/>
      <c r="K32" s="164"/>
      <c r="L32" s="165"/>
      <c r="M32" s="103"/>
      <c r="N32" s="103"/>
    </row>
    <row r="33" spans="1:14" ht="12.75">
      <c r="A33" s="103"/>
      <c r="B33" s="103"/>
      <c r="C33" s="126" t="s">
        <v>20</v>
      </c>
      <c r="D33" s="123"/>
      <c r="E33" s="134">
        <f>-(E34-E35)</f>
        <v>1153</v>
      </c>
      <c r="F33" s="134">
        <f>F35-F34</f>
        <v>1370</v>
      </c>
      <c r="G33" s="134">
        <f>G35-G34</f>
        <v>1624</v>
      </c>
      <c r="H33" s="193">
        <f>G33*(1+15%)</f>
        <v>1867.6</v>
      </c>
      <c r="I33" s="193">
        <f t="shared" ref="I33:L33" si="10">H33*(1+15%)</f>
        <v>2147.7399999999998</v>
      </c>
      <c r="J33" s="193">
        <f t="shared" si="10"/>
        <v>2469.9009999999994</v>
      </c>
      <c r="K33" s="193">
        <f t="shared" si="10"/>
        <v>2840.3861499999989</v>
      </c>
      <c r="L33" s="193">
        <f t="shared" si="10"/>
        <v>3266.4440724999986</v>
      </c>
      <c r="M33" s="103"/>
      <c r="N33" s="103"/>
    </row>
    <row r="34" spans="1:14" ht="12.75">
      <c r="A34" s="105"/>
      <c r="B34" s="103"/>
      <c r="C34" s="130" t="s">
        <v>21</v>
      </c>
      <c r="D34" s="12"/>
      <c r="E34" s="41">
        <f>-17007</f>
        <v>-17007</v>
      </c>
      <c r="F34" s="41">
        <f>-9737</f>
        <v>-9737</v>
      </c>
      <c r="G34" s="41">
        <f>-13467</f>
        <v>-13467</v>
      </c>
      <c r="H34" s="31">
        <f t="shared" ref="H34:L34" si="11">H15</f>
        <v>2772.3988166669733</v>
      </c>
      <c r="I34" s="32">
        <f>I15</f>
        <v>65003.031177500008</v>
      </c>
      <c r="J34" s="32">
        <f t="shared" si="11"/>
        <v>75639.964547249983</v>
      </c>
      <c r="K34" s="32">
        <f t="shared" si="11"/>
        <v>87618.333181574955</v>
      </c>
      <c r="L34" s="173">
        <f t="shared" si="11"/>
        <v>102495.0584639337</v>
      </c>
      <c r="M34" s="103"/>
      <c r="N34" s="103"/>
    </row>
    <row r="35" spans="1:14" ht="12.75">
      <c r="A35" s="105"/>
      <c r="B35" s="103"/>
      <c r="C35" s="122" t="s">
        <v>22</v>
      </c>
      <c r="D35" s="131"/>
      <c r="E35" s="174">
        <f>-15854</f>
        <v>-15854</v>
      </c>
      <c r="F35" s="174">
        <v>-8367</v>
      </c>
      <c r="G35" s="174">
        <f>-11843</f>
        <v>-11843</v>
      </c>
      <c r="H35" s="42">
        <f t="shared" ref="H35:L35" si="12">H19+H16+H18+H33</f>
        <v>-4126.3211833331552</v>
      </c>
      <c r="I35" s="174">
        <f t="shared" si="12"/>
        <v>55873.174881203566</v>
      </c>
      <c r="J35" s="174">
        <f t="shared" si="12"/>
        <v>67069.079551365081</v>
      </c>
      <c r="K35" s="174">
        <f t="shared" si="12"/>
        <v>86875.657537907697</v>
      </c>
      <c r="L35" s="175">
        <f t="shared" si="12"/>
        <v>99027.368691607451</v>
      </c>
      <c r="M35" s="103"/>
      <c r="N35" s="103"/>
    </row>
    <row r="36" spans="1:14" ht="12.75">
      <c r="A36" s="109"/>
      <c r="B36" s="103"/>
      <c r="C36" s="132"/>
      <c r="D36" s="123"/>
      <c r="E36" s="176"/>
      <c r="F36" s="176"/>
      <c r="G36" s="123"/>
      <c r="H36" s="33"/>
      <c r="I36" s="123"/>
      <c r="J36" s="123"/>
      <c r="K36" s="123"/>
      <c r="L36" s="125"/>
      <c r="M36" s="103"/>
      <c r="N36" s="103"/>
    </row>
    <row r="37" spans="1:14" ht="13.5" thickBot="1">
      <c r="A37" s="103"/>
      <c r="B37" s="103"/>
      <c r="C37" s="182" t="s">
        <v>23</v>
      </c>
      <c r="D37" s="183"/>
      <c r="E37" s="183"/>
      <c r="F37" s="183"/>
      <c r="G37" s="183"/>
      <c r="H37" s="184"/>
      <c r="I37" s="183"/>
      <c r="J37" s="183"/>
      <c r="K37" s="183"/>
      <c r="L37" s="185"/>
      <c r="M37" s="103"/>
      <c r="N37" s="103"/>
    </row>
    <row r="38" spans="1:14" ht="12.75">
      <c r="A38" s="103"/>
      <c r="B38" s="103"/>
      <c r="C38" s="126" t="s">
        <v>24</v>
      </c>
      <c r="D38" s="123"/>
      <c r="E38" s="171">
        <f t="shared" ref="E38:L38" si="13">-E7/E6</f>
        <v>0.1033042157235093</v>
      </c>
      <c r="F38" s="171">
        <f t="shared" si="13"/>
        <v>0.32040000000000002</v>
      </c>
      <c r="G38" s="171">
        <f t="shared" si="13"/>
        <v>9.2587651787241321E-2</v>
      </c>
      <c r="H38" s="39">
        <f t="shared" si="13"/>
        <v>6.5708907481508413E-2</v>
      </c>
      <c r="I38" s="171">
        <f t="shared" si="13"/>
        <v>6.285199846057328E-2</v>
      </c>
      <c r="J38" s="171">
        <f t="shared" si="13"/>
        <v>6.2851998460573294E-2</v>
      </c>
      <c r="K38" s="171">
        <f t="shared" si="13"/>
        <v>6.55846940458156E-2</v>
      </c>
      <c r="L38" s="172">
        <f t="shared" si="13"/>
        <v>6.8436202482590192E-2</v>
      </c>
      <c r="M38" s="103"/>
      <c r="N38" s="103"/>
    </row>
    <row r="39" spans="1:14" ht="12.75">
      <c r="A39" s="103"/>
      <c r="B39" s="103"/>
      <c r="C39" s="126" t="s">
        <v>25</v>
      </c>
      <c r="D39" s="123"/>
      <c r="E39" s="171">
        <f t="shared" ref="E39:L39" si="14">E8/E6</f>
        <v>0.89669578427649066</v>
      </c>
      <c r="F39" s="171">
        <f t="shared" si="14"/>
        <v>0.67959999999999998</v>
      </c>
      <c r="G39" s="171">
        <f t="shared" si="14"/>
        <v>0.90741234821275873</v>
      </c>
      <c r="H39" s="39">
        <f t="shared" si="14"/>
        <v>0.93429109251849152</v>
      </c>
      <c r="I39" s="171">
        <f t="shared" si="14"/>
        <v>0.93714800153942679</v>
      </c>
      <c r="J39" s="171">
        <f t="shared" si="14"/>
        <v>0.93714800153942679</v>
      </c>
      <c r="K39" s="171">
        <f t="shared" si="14"/>
        <v>0.93441530595418443</v>
      </c>
      <c r="L39" s="172">
        <f t="shared" si="14"/>
        <v>0.93156379751740981</v>
      </c>
      <c r="M39" s="103"/>
      <c r="N39" s="103"/>
    </row>
    <row r="40" spans="1:14" ht="12.75">
      <c r="A40" s="103"/>
      <c r="B40" s="103"/>
      <c r="C40" s="126" t="s">
        <v>5</v>
      </c>
      <c r="D40" s="123"/>
      <c r="E40" s="171">
        <f t="shared" ref="E40:L40" si="15">-E10/E6</f>
        <v>6.9009115077857952E-2</v>
      </c>
      <c r="F40" s="171">
        <f t="shared" si="15"/>
        <v>8.7133333333333327E-2</v>
      </c>
      <c r="G40" s="171">
        <f t="shared" si="15"/>
        <v>4.5666239096972809E-2</v>
      </c>
      <c r="H40" s="39">
        <f t="shared" si="15"/>
        <v>3.7233184794470714E-2</v>
      </c>
      <c r="I40" s="171">
        <f t="shared" si="15"/>
        <v>3.7233184794470707E-2</v>
      </c>
      <c r="J40" s="171">
        <f t="shared" si="15"/>
        <v>3.5614350672972001E-2</v>
      </c>
      <c r="K40" s="171">
        <f t="shared" si="15"/>
        <v>3.406590064371235E-2</v>
      </c>
      <c r="L40" s="172">
        <f t="shared" si="15"/>
        <v>3.1103648413824327E-2</v>
      </c>
      <c r="M40" s="103"/>
      <c r="N40" s="103"/>
    </row>
    <row r="41" spans="1:14" ht="12.75">
      <c r="A41" s="103"/>
      <c r="B41" s="103"/>
      <c r="C41" s="126" t="s">
        <v>6</v>
      </c>
      <c r="D41" s="123"/>
      <c r="E41" s="171">
        <f t="shared" ref="E41:L41" si="16">-E11/E6</f>
        <v>0.19092252183820732</v>
      </c>
      <c r="F41" s="171">
        <f t="shared" si="16"/>
        <v>0.57001000000000002</v>
      </c>
      <c r="G41" s="171">
        <f t="shared" si="16"/>
        <v>0.183615529331281</v>
      </c>
      <c r="H41" s="39">
        <f t="shared" si="16"/>
        <v>0.1497077725233418</v>
      </c>
      <c r="I41" s="171">
        <f t="shared" si="16"/>
        <v>0.1497077725233418</v>
      </c>
      <c r="J41" s="171">
        <f t="shared" si="16"/>
        <v>0.14319873893537047</v>
      </c>
      <c r="K41" s="171">
        <f t="shared" si="16"/>
        <v>0.1369727068077457</v>
      </c>
      <c r="L41" s="172">
        <f t="shared" si="16"/>
        <v>0.12506203665055043</v>
      </c>
      <c r="M41" s="103"/>
      <c r="N41" s="103"/>
    </row>
    <row r="42" spans="1:14" ht="12.75">
      <c r="A42" s="103"/>
      <c r="B42" s="103"/>
      <c r="C42" s="126" t="s">
        <v>7</v>
      </c>
      <c r="D42" s="123"/>
      <c r="E42" s="171">
        <f t="shared" ref="E42:L42" si="17">-E12/E6</f>
        <v>0.11636916065324725</v>
      </c>
      <c r="F42" s="171">
        <f t="shared" si="17"/>
        <v>0.58299000000000001</v>
      </c>
      <c r="G42" s="171">
        <f t="shared" si="17"/>
        <v>7.9493757482469646E-2</v>
      </c>
      <c r="H42" s="39">
        <f t="shared" si="17"/>
        <v>6.4813871710925189E-2</v>
      </c>
      <c r="I42" s="171">
        <f t="shared" si="17"/>
        <v>6.4813871710925175E-2</v>
      </c>
      <c r="J42" s="171">
        <f t="shared" si="17"/>
        <v>6.4813871710925203E-2</v>
      </c>
      <c r="K42" s="171">
        <f t="shared" si="17"/>
        <v>6.4813871710925189E-2</v>
      </c>
      <c r="L42" s="172">
        <f t="shared" si="17"/>
        <v>6.4813871710925203E-2</v>
      </c>
      <c r="M42" s="103"/>
      <c r="N42" s="103"/>
    </row>
    <row r="43" spans="1:14" ht="12.75">
      <c r="A43" s="103"/>
      <c r="B43" s="103"/>
      <c r="C43" s="126" t="s">
        <v>26</v>
      </c>
      <c r="D43" s="123"/>
      <c r="E43" s="171">
        <f t="shared" ref="E43:L43" si="18">E15/E6</f>
        <v>0.62369920243068744</v>
      </c>
      <c r="F43" s="171">
        <f t="shared" si="18"/>
        <v>-8.1866666666666671E-2</v>
      </c>
      <c r="G43" s="171">
        <f t="shared" si="18"/>
        <v>0.57084658799384302</v>
      </c>
      <c r="H43" s="39">
        <f t="shared" si="18"/>
        <v>3.3617058526336528E-2</v>
      </c>
      <c r="I43" s="171">
        <f t="shared" si="18"/>
        <v>0.6853931725106891</v>
      </c>
      <c r="J43" s="171">
        <f t="shared" si="18"/>
        <v>0.69352104022015915</v>
      </c>
      <c r="K43" s="171">
        <f t="shared" si="18"/>
        <v>0.69856282679180115</v>
      </c>
      <c r="L43" s="172">
        <f t="shared" si="18"/>
        <v>0.71058424074210991</v>
      </c>
      <c r="M43" s="103"/>
      <c r="N43" s="103"/>
    </row>
    <row r="44" spans="1:14" ht="12.75">
      <c r="A44" s="103"/>
      <c r="B44" s="103"/>
      <c r="C44" s="126" t="s">
        <v>27</v>
      </c>
      <c r="D44" s="123"/>
      <c r="E44" s="171">
        <f t="shared" ref="E44:L44" si="19">-E18/E6</f>
        <v>0.48059248006076721</v>
      </c>
      <c r="F44" s="171">
        <f t="shared" si="19"/>
        <v>0.26893333333333336</v>
      </c>
      <c r="G44" s="171">
        <f t="shared" si="19"/>
        <v>0.187087395245425</v>
      </c>
      <c r="H44" s="39">
        <f t="shared" si="19"/>
        <v>4.0343559274079469E-2</v>
      </c>
      <c r="I44" s="171">
        <f>-I18/I6</f>
        <v>4.4219099240108195E-2</v>
      </c>
      <c r="J44" s="171">
        <f t="shared" si="19"/>
        <v>3.8028224179672408E-2</v>
      </c>
      <c r="K44" s="171">
        <f t="shared" si="19"/>
        <v>3.8858221122353796E-3</v>
      </c>
      <c r="L44" s="172">
        <f t="shared" si="19"/>
        <v>1.475402497872454E-2</v>
      </c>
      <c r="M44" s="103"/>
      <c r="N44" s="103"/>
    </row>
    <row r="45" spans="1:14" ht="12.75">
      <c r="A45" s="103"/>
      <c r="B45" s="103"/>
      <c r="C45" s="126" t="s">
        <v>28</v>
      </c>
      <c r="D45" s="123"/>
      <c r="E45" s="171">
        <f t="shared" ref="E45:L45" si="20">E19/E6</f>
        <v>0.14265096847702241</v>
      </c>
      <c r="F45" s="171">
        <f t="shared" si="20"/>
        <v>-0.35373333333333334</v>
      </c>
      <c r="G45" s="171">
        <f t="shared" si="20"/>
        <v>-0.24287668890029074</v>
      </c>
      <c r="H45" s="39">
        <f t="shared" si="20"/>
        <v>-1.9531480336280958E-2</v>
      </c>
      <c r="I45" s="171">
        <f t="shared" si="20"/>
        <v>0.62593757971912622</v>
      </c>
      <c r="J45" s="171">
        <f t="shared" si="20"/>
        <v>0.64290614745450236</v>
      </c>
      <c r="K45" s="171">
        <f t="shared" si="20"/>
        <v>0.68427932193462215</v>
      </c>
      <c r="L45" s="172">
        <f t="shared" si="20"/>
        <v>0.68724082566973632</v>
      </c>
      <c r="M45" s="103"/>
      <c r="N45" s="103"/>
    </row>
    <row r="46" spans="1:14" ht="12.75">
      <c r="A46" s="103"/>
      <c r="B46" s="103"/>
      <c r="C46" s="126" t="s">
        <v>29</v>
      </c>
      <c r="D46" s="123"/>
      <c r="E46" s="171">
        <f t="shared" ref="E46:L46" si="21">E33/E6</f>
        <v>8.7580706418533993E-2</v>
      </c>
      <c r="F46" s="171">
        <f t="shared" si="21"/>
        <v>9.1333333333333336E-2</v>
      </c>
      <c r="G46" s="171">
        <f t="shared" si="21"/>
        <v>2.7774927313152044E-2</v>
      </c>
      <c r="H46" s="39">
        <f t="shared" si="21"/>
        <v>2.2645810597793137E-2</v>
      </c>
      <c r="I46" s="171">
        <f t="shared" si="21"/>
        <v>2.2645810597793133E-2</v>
      </c>
      <c r="J46" s="171">
        <f t="shared" si="21"/>
        <v>2.2645810597793137E-2</v>
      </c>
      <c r="K46" s="171">
        <f t="shared" si="21"/>
        <v>2.2645810597793137E-2</v>
      </c>
      <c r="L46" s="172">
        <f t="shared" si="21"/>
        <v>2.2645810597793137E-2</v>
      </c>
      <c r="M46" s="103"/>
      <c r="N46" s="103"/>
    </row>
    <row r="47" spans="1:14" ht="12.75">
      <c r="A47" s="103"/>
      <c r="B47" s="103"/>
      <c r="C47" s="126" t="s">
        <v>30</v>
      </c>
      <c r="D47" s="123"/>
      <c r="E47" s="171">
        <f>-'CF(WIP)'!E26/E6</f>
        <v>1.147132548423851</v>
      </c>
      <c r="F47" s="171">
        <f>-'CF(WIP)'!F26/F6</f>
        <v>1.0076666666666667</v>
      </c>
      <c r="G47" s="171">
        <f>-'CF(WIP)'!G26/G6</f>
        <v>0.31754746023601849</v>
      </c>
      <c r="H47" s="39">
        <f>-'CF(WIP)'!H26/H6</f>
        <v>0.23919405036174959</v>
      </c>
      <c r="I47" s="171">
        <f>-'CF(WIP)'!I26/I6</f>
        <v>0.24959379168182563</v>
      </c>
      <c r="J47" s="171">
        <f>-'CF(WIP)'!J26/J6</f>
        <v>0.19533427175099405</v>
      </c>
      <c r="K47" s="171">
        <f>-'CF(WIP)'!K26/K6</f>
        <v>0.15287029963121274</v>
      </c>
      <c r="L47" s="172">
        <f>-'CF(WIP)'!L26/L6</f>
        <v>0.11963762579834041</v>
      </c>
      <c r="M47" s="103"/>
      <c r="N47" s="103"/>
    </row>
    <row r="48" spans="1:14" ht="13.5" thickBot="1">
      <c r="A48" s="103"/>
      <c r="B48" s="103"/>
      <c r="C48" s="177" t="s">
        <v>31</v>
      </c>
      <c r="D48" s="178"/>
      <c r="E48" s="179">
        <f t="shared" ref="E48:L48" si="22">E35/E6</f>
        <v>-1.2042537030003797</v>
      </c>
      <c r="F48" s="179">
        <f t="shared" si="22"/>
        <v>-0.55779999999999996</v>
      </c>
      <c r="G48" s="179">
        <f t="shared" si="22"/>
        <v>-0.20254831537540618</v>
      </c>
      <c r="H48" s="180">
        <f t="shared" si="22"/>
        <v>-5.0034208601105315E-2</v>
      </c>
      <c r="I48" s="179">
        <f t="shared" si="22"/>
        <v>0.58912779752535638</v>
      </c>
      <c r="J48" s="179">
        <f t="shared" si="22"/>
        <v>0.61493706528663894</v>
      </c>
      <c r="K48" s="179">
        <f t="shared" si="22"/>
        <v>0.6926416276752364</v>
      </c>
      <c r="L48" s="181">
        <f t="shared" si="22"/>
        <v>0.68654322119515587</v>
      </c>
      <c r="M48" s="103"/>
      <c r="N48" s="103"/>
    </row>
    <row r="49" spans="1:14" ht="12.75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</row>
    <row r="50" spans="1:14" ht="15.75" customHeight="1">
      <c r="A50" s="110"/>
      <c r="B50" s="110"/>
    </row>
    <row r="51" spans="1:14" ht="15.75" customHeight="1">
      <c r="A51" s="110"/>
      <c r="B51" s="110"/>
    </row>
    <row r="52" spans="1:14" ht="15.75" customHeight="1">
      <c r="C52" s="87" t="s">
        <v>232</v>
      </c>
      <c r="E52" s="208"/>
      <c r="F52" s="209" t="s">
        <v>231</v>
      </c>
      <c r="G52" s="208"/>
      <c r="H52" s="206"/>
      <c r="I52" s="206"/>
      <c r="J52" s="210" t="s">
        <v>233</v>
      </c>
      <c r="K52" s="206"/>
      <c r="L52" s="206"/>
    </row>
    <row r="53" spans="1:14" ht="15.75" customHeight="1">
      <c r="C53" s="207"/>
      <c r="D53" s="207"/>
      <c r="E53" s="207">
        <v>2021</v>
      </c>
      <c r="F53" s="207">
        <v>2022</v>
      </c>
      <c r="G53" s="207">
        <v>2023</v>
      </c>
      <c r="H53" s="207">
        <v>2024</v>
      </c>
      <c r="I53" s="207">
        <v>2025</v>
      </c>
      <c r="J53" s="207">
        <v>2026</v>
      </c>
      <c r="K53" s="207">
        <v>2027</v>
      </c>
      <c r="L53" s="207">
        <v>2028</v>
      </c>
    </row>
    <row r="54" spans="1:14" ht="15.75" customHeight="1">
      <c r="C54" t="s">
        <v>1</v>
      </c>
      <c r="E54">
        <v>13165</v>
      </c>
      <c r="F54">
        <v>15000</v>
      </c>
      <c r="G54">
        <v>58470</v>
      </c>
      <c r="H54">
        <f>G54+24000</f>
        <v>82470</v>
      </c>
      <c r="I54" s="96">
        <f>H54*(1+$H$58)</f>
        <v>94840.499999999985</v>
      </c>
      <c r="J54" s="96">
        <f t="shared" ref="J54:K54" si="23">I54*(1+$H$58)</f>
        <v>109066.57499999997</v>
      </c>
      <c r="K54" s="96">
        <f t="shared" si="23"/>
        <v>125426.56124999996</v>
      </c>
      <c r="L54" s="96">
        <f>K54*(1+$H$58)</f>
        <v>144240.54543749994</v>
      </c>
    </row>
    <row r="56" spans="1:14" ht="15.75" customHeight="1">
      <c r="C56" s="88" t="s">
        <v>234</v>
      </c>
      <c r="E56" s="212" t="s">
        <v>235</v>
      </c>
      <c r="F56" s="212" t="s">
        <v>235</v>
      </c>
      <c r="G56" s="212" t="s">
        <v>235</v>
      </c>
      <c r="H56" s="211">
        <f>(G54/H54)-1</f>
        <v>-0.29101491451436889</v>
      </c>
      <c r="I56" s="211">
        <f>I54/H54-1</f>
        <v>0.14999999999999991</v>
      </c>
      <c r="J56" s="211">
        <f t="shared" ref="J56:L56" si="24">J54/I54-1</f>
        <v>0.14999999999999991</v>
      </c>
      <c r="K56" s="211">
        <f t="shared" si="24"/>
        <v>0.14999999999999991</v>
      </c>
      <c r="L56" s="211">
        <f t="shared" si="24"/>
        <v>0.14999999999999991</v>
      </c>
    </row>
    <row r="58" spans="1:14" ht="15.75" customHeight="1">
      <c r="H58" s="213">
        <f>24/160</f>
        <v>0.15</v>
      </c>
    </row>
  </sheetData>
  <mergeCells count="1">
    <mergeCell ref="H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outlinePr summaryBelow="0" summaryRight="0"/>
  </sheetPr>
  <dimension ref="A1:O62"/>
  <sheetViews>
    <sheetView showGridLines="0" topLeftCell="C4" zoomScale="82" zoomScaleNormal="82" workbookViewId="0">
      <selection activeCell="H7" sqref="H7"/>
    </sheetView>
  </sheetViews>
  <sheetFormatPr defaultColWidth="12.7109375" defaultRowHeight="15.75" customHeight="1"/>
  <cols>
    <col min="3" max="3" width="38.42578125" customWidth="1"/>
  </cols>
  <sheetData>
    <row r="1" spans="1:15" ht="13.5" thickBo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10"/>
    </row>
    <row r="2" spans="1:15" ht="12.75">
      <c r="A2" s="103"/>
      <c r="B2" s="103"/>
      <c r="C2" s="112" t="s">
        <v>229</v>
      </c>
      <c r="D2" s="113"/>
      <c r="E2" s="113"/>
      <c r="F2" s="113"/>
      <c r="G2" s="113"/>
      <c r="H2" s="113"/>
      <c r="I2" s="113"/>
      <c r="J2" s="113"/>
      <c r="K2" s="113"/>
      <c r="L2" s="114"/>
      <c r="M2" s="103"/>
      <c r="N2" s="103"/>
    </row>
    <row r="3" spans="1:15" ht="12.75">
      <c r="A3" s="103"/>
      <c r="B3" s="103"/>
      <c r="C3" s="115" t="s">
        <v>216</v>
      </c>
      <c r="D3" s="116"/>
      <c r="E3" s="116"/>
      <c r="F3" s="116"/>
      <c r="G3" s="116"/>
      <c r="H3" s="116"/>
      <c r="I3" s="116"/>
      <c r="J3" s="116"/>
      <c r="K3" s="116"/>
      <c r="L3" s="117"/>
      <c r="M3" s="103"/>
      <c r="N3" s="103"/>
    </row>
    <row r="4" spans="1:15" ht="12.75">
      <c r="A4" s="103"/>
      <c r="B4" s="103"/>
      <c r="C4" s="118"/>
      <c r="D4" s="119"/>
      <c r="E4" s="50"/>
      <c r="F4" s="50"/>
      <c r="G4" s="50"/>
      <c r="H4" s="598" t="s">
        <v>0</v>
      </c>
      <c r="I4" s="599"/>
      <c r="J4" s="599"/>
      <c r="K4" s="599"/>
      <c r="L4" s="600"/>
      <c r="M4" s="103"/>
      <c r="N4" s="103"/>
    </row>
    <row r="5" spans="1:15" ht="12.75">
      <c r="A5" s="103"/>
      <c r="B5" s="103"/>
      <c r="C5" s="118"/>
      <c r="D5" s="119"/>
      <c r="E5" s="120">
        <v>2021</v>
      </c>
      <c r="F5" s="120">
        <v>2022</v>
      </c>
      <c r="G5" s="52">
        <v>2023</v>
      </c>
      <c r="H5" s="120">
        <v>2024</v>
      </c>
      <c r="I5" s="120">
        <v>2025</v>
      </c>
      <c r="J5" s="120">
        <v>2026</v>
      </c>
      <c r="K5" s="120">
        <v>2027</v>
      </c>
      <c r="L5" s="121">
        <v>2028</v>
      </c>
      <c r="M5" s="103"/>
      <c r="N5" s="103"/>
    </row>
    <row r="6" spans="1:15" ht="12.75">
      <c r="A6" s="103"/>
      <c r="B6" s="103"/>
      <c r="C6" s="122" t="s">
        <v>62</v>
      </c>
      <c r="D6" s="123"/>
      <c r="E6" s="123"/>
      <c r="F6" s="123"/>
      <c r="G6" s="34"/>
      <c r="H6" s="123"/>
      <c r="I6" s="123"/>
      <c r="J6" s="123"/>
      <c r="K6" s="123"/>
      <c r="L6" s="125"/>
      <c r="M6" s="103"/>
      <c r="N6" s="103"/>
    </row>
    <row r="7" spans="1:15" ht="12.75">
      <c r="A7" s="103"/>
      <c r="B7" s="103"/>
      <c r="C7" s="126" t="s">
        <v>14</v>
      </c>
      <c r="D7" s="123"/>
      <c r="E7" s="147">
        <f>IS!E19</f>
        <v>1878</v>
      </c>
      <c r="F7" s="147">
        <f>IS!F19</f>
        <v>-5306</v>
      </c>
      <c r="G7" s="147">
        <f>IS!G19</f>
        <v>-14201</v>
      </c>
      <c r="H7" s="55">
        <f>IS!H19</f>
        <v>-1610.7611833330907</v>
      </c>
      <c r="I7" s="186">
        <f>IS!I19</f>
        <v>59364.233029351788</v>
      </c>
      <c r="J7" s="186">
        <f>IS!J19</f>
        <v>70119.571549307526</v>
      </c>
      <c r="K7" s="186">
        <f>IS!K19</f>
        <v>85826.802284741323</v>
      </c>
      <c r="L7" s="187">
        <f>IS!L19</f>
        <v>99127.991541520576</v>
      </c>
      <c r="M7" s="103"/>
      <c r="N7" s="103"/>
    </row>
    <row r="8" spans="1:15" ht="38.25">
      <c r="A8" s="103"/>
      <c r="B8" s="103"/>
      <c r="C8" s="188" t="s">
        <v>63</v>
      </c>
      <c r="D8" s="123"/>
      <c r="E8" s="124"/>
      <c r="F8" s="124"/>
      <c r="G8" s="53"/>
      <c r="H8" s="164"/>
      <c r="I8" s="164"/>
      <c r="J8" s="164"/>
      <c r="K8" s="164"/>
      <c r="L8" s="165"/>
      <c r="M8" s="103"/>
      <c r="N8" s="103"/>
    </row>
    <row r="9" spans="1:15" ht="12.75">
      <c r="A9" s="103"/>
      <c r="B9" s="103"/>
      <c r="C9" s="126" t="s">
        <v>64</v>
      </c>
      <c r="D9" s="123"/>
      <c r="E9" s="127">
        <v>1529.87</v>
      </c>
      <c r="F9" s="127">
        <v>1370.143</v>
      </c>
      <c r="G9" s="54">
        <v>1624.2080000000001</v>
      </c>
      <c r="H9" s="128">
        <f>FORECAST(H5,E9:G9,E5:G5)</f>
        <v>1602.4116666666669</v>
      </c>
      <c r="I9" s="128">
        <f>FORECAST(I5,E9:H9,E5:H5)</f>
        <v>1649.5806666666613</v>
      </c>
      <c r="J9" s="128">
        <f>FORECAST(E5,E9:I9,E5:I5)</f>
        <v>1460.9046666666836</v>
      </c>
      <c r="K9" s="128">
        <f>FORECAST(K5,E9:J9,E5:J5)</f>
        <v>1586.6886666666724</v>
      </c>
      <c r="L9" s="129">
        <f>FORECAST(L5,I9:K9,I5:K5)</f>
        <v>1502.8326666666908</v>
      </c>
      <c r="M9" s="103"/>
      <c r="N9" s="103"/>
    </row>
    <row r="10" spans="1:15" ht="12.75">
      <c r="A10" s="103"/>
      <c r="B10" s="103"/>
      <c r="C10" s="126" t="s">
        <v>65</v>
      </c>
      <c r="D10" s="123"/>
      <c r="E10" s="127">
        <v>4836</v>
      </c>
      <c r="F10" s="127">
        <v>6536</v>
      </c>
      <c r="G10" s="54">
        <v>9164</v>
      </c>
      <c r="H10" s="128">
        <f>AVERAGE(E10:G10)*(1+5%)</f>
        <v>7187.6</v>
      </c>
      <c r="I10" s="128">
        <f>AVERAGE(E10:H10)*(1+5%)</f>
        <v>7277.4449999999997</v>
      </c>
      <c r="J10" s="128">
        <f>AVERAGE(E10:I10)*(1+5%)</f>
        <v>7350.2194500000005</v>
      </c>
      <c r="K10" s="128">
        <f>AVERAGE(E10:J10)*(1+5%)</f>
        <v>7411.4712787500011</v>
      </c>
      <c r="L10" s="128">
        <f>AVERAGE(E10:K10)*(1+5%)</f>
        <v>7464.410359312501</v>
      </c>
      <c r="M10" s="103"/>
      <c r="N10" s="103"/>
    </row>
    <row r="11" spans="1:15" ht="12.75">
      <c r="A11" s="103"/>
      <c r="B11" s="103"/>
      <c r="C11" s="126" t="s">
        <v>66</v>
      </c>
      <c r="D11" s="123"/>
      <c r="E11" s="127">
        <v>-37</v>
      </c>
      <c r="F11" s="127">
        <v>-1192</v>
      </c>
      <c r="G11" s="54">
        <v>609</v>
      </c>
      <c r="H11" s="128">
        <f t="shared" ref="H11:L11" si="0">FORECAST(H5,$E11:G11,$E5:G5)</f>
        <v>439.33333333337214</v>
      </c>
      <c r="I11" s="128">
        <f t="shared" si="0"/>
        <v>762.33333333348855</v>
      </c>
      <c r="J11" s="128">
        <f t="shared" si="0"/>
        <v>1085.3333333333721</v>
      </c>
      <c r="K11" s="128">
        <f t="shared" si="0"/>
        <v>1408.3333333333721</v>
      </c>
      <c r="L11" s="129">
        <f t="shared" si="0"/>
        <v>1731.3333333334886</v>
      </c>
      <c r="M11" s="103"/>
      <c r="N11" s="103"/>
    </row>
    <row r="12" spans="1:15" ht="12.75">
      <c r="A12" s="103"/>
      <c r="B12" s="103"/>
      <c r="C12" s="126" t="s">
        <v>8</v>
      </c>
      <c r="D12" s="123"/>
      <c r="E12" s="127">
        <v>39</v>
      </c>
      <c r="F12" s="127">
        <v>118</v>
      </c>
      <c r="G12" s="54">
        <v>-127</v>
      </c>
      <c r="H12" s="128">
        <f t="shared" ref="H12:L12" si="1">FORECAST(H5,$E12:G12,$E5:G5)</f>
        <v>-156</v>
      </c>
      <c r="I12" s="128">
        <f t="shared" si="1"/>
        <v>-239</v>
      </c>
      <c r="J12" s="128">
        <f t="shared" si="1"/>
        <v>-322</v>
      </c>
      <c r="K12" s="128">
        <f t="shared" si="1"/>
        <v>-405</v>
      </c>
      <c r="L12" s="129">
        <f t="shared" si="1"/>
        <v>-488</v>
      </c>
      <c r="M12" s="103"/>
      <c r="N12" s="103"/>
    </row>
    <row r="13" spans="1:15" ht="12.75">
      <c r="A13" s="103"/>
      <c r="B13" s="103"/>
      <c r="C13" s="189" t="s">
        <v>67</v>
      </c>
      <c r="D13" s="97"/>
      <c r="E13" s="98"/>
      <c r="F13" s="98"/>
      <c r="G13" s="99"/>
      <c r="H13" s="100"/>
      <c r="I13" s="100"/>
      <c r="J13" s="100"/>
      <c r="K13" s="100"/>
      <c r="L13" s="190"/>
      <c r="M13" s="103"/>
      <c r="N13" s="103"/>
    </row>
    <row r="14" spans="1:15" ht="12.75">
      <c r="A14" s="103"/>
      <c r="B14" s="103"/>
      <c r="C14" s="126" t="s">
        <v>215</v>
      </c>
      <c r="D14" s="123"/>
      <c r="E14" s="127">
        <v>-1961</v>
      </c>
      <c r="F14" s="127">
        <v>-1512</v>
      </c>
      <c r="G14" s="54">
        <v>-3110</v>
      </c>
      <c r="H14" s="128">
        <f t="shared" ref="H14:L14" si="2">FORECAST($H5,$E14:G14,$E5:G5)</f>
        <v>-3343.3333333332557</v>
      </c>
      <c r="I14" s="128">
        <f t="shared" si="2"/>
        <v>-3343.3333333330229</v>
      </c>
      <c r="J14" s="128">
        <f t="shared" si="2"/>
        <v>-3113.5333333332092</v>
      </c>
      <c r="K14" s="128">
        <f t="shared" si="2"/>
        <v>-2894.6761904760497</v>
      </c>
      <c r="L14" s="129">
        <f t="shared" si="2"/>
        <v>-2753.9823129251017</v>
      </c>
      <c r="M14" s="103"/>
      <c r="N14" s="103"/>
    </row>
    <row r="15" spans="1:15" ht="12.75">
      <c r="A15" s="103"/>
      <c r="B15" s="103"/>
      <c r="C15" s="126" t="s">
        <v>68</v>
      </c>
      <c r="D15" s="123"/>
      <c r="E15" s="127">
        <v>47</v>
      </c>
      <c r="F15" s="127">
        <v>135</v>
      </c>
      <c r="G15" s="54">
        <v>-1750</v>
      </c>
      <c r="H15" s="128">
        <f t="shared" ref="H15:L15" si="3">FORECAST(H5,$E15:G15,$E5:G5)</f>
        <v>-2319.6666666667443</v>
      </c>
      <c r="I15" s="128">
        <f t="shared" si="3"/>
        <v>-3218.1666666669771</v>
      </c>
      <c r="J15" s="128">
        <f t="shared" si="3"/>
        <v>-4116.6666666667443</v>
      </c>
      <c r="K15" s="128">
        <f t="shared" si="3"/>
        <v>-5015.1666666667443</v>
      </c>
      <c r="L15" s="129">
        <f t="shared" si="3"/>
        <v>-5913.6666666669771</v>
      </c>
      <c r="M15" s="103"/>
      <c r="N15" s="103"/>
    </row>
    <row r="16" spans="1:15" ht="12.75">
      <c r="A16" s="103"/>
      <c r="B16" s="103"/>
      <c r="C16" s="126" t="s">
        <v>69</v>
      </c>
      <c r="D16" s="123"/>
      <c r="E16" s="127">
        <v>41</v>
      </c>
      <c r="F16" s="127">
        <v>-34</v>
      </c>
      <c r="G16" s="54">
        <v>-349</v>
      </c>
      <c r="H16" s="128">
        <f t="shared" ref="H16:L16" si="4">FORECAST(H5,$E16:G16,$E5:G5)</f>
        <v>-504</v>
      </c>
      <c r="I16" s="128">
        <f t="shared" si="4"/>
        <v>-699</v>
      </c>
      <c r="J16" s="128">
        <f t="shared" si="4"/>
        <v>-894</v>
      </c>
      <c r="K16" s="128">
        <f t="shared" si="4"/>
        <v>-1089</v>
      </c>
      <c r="L16" s="129">
        <f t="shared" si="4"/>
        <v>-1284</v>
      </c>
      <c r="M16" s="103"/>
      <c r="N16" s="103"/>
    </row>
    <row r="17" spans="1:14" ht="12.75">
      <c r="A17" s="103"/>
      <c r="B17" s="103"/>
      <c r="C17" s="126" t="s">
        <v>47</v>
      </c>
      <c r="D17" s="123"/>
      <c r="E17" s="127">
        <v>113</v>
      </c>
      <c r="F17" s="127">
        <v>-17</v>
      </c>
      <c r="G17" s="54">
        <v>1436</v>
      </c>
      <c r="H17" s="128">
        <f t="shared" ref="H17:L17" si="5">FORECAST(H5,$E17:G17,$E5:G5)</f>
        <v>1833.6666666667443</v>
      </c>
      <c r="I17" s="128">
        <f t="shared" si="5"/>
        <v>2495.1666666669771</v>
      </c>
      <c r="J17" s="128">
        <f t="shared" si="5"/>
        <v>3156.6666666667443</v>
      </c>
      <c r="K17" s="128">
        <f t="shared" si="5"/>
        <v>3818.1666666667443</v>
      </c>
      <c r="L17" s="129">
        <f t="shared" si="5"/>
        <v>4479.6666666669771</v>
      </c>
      <c r="M17" s="103"/>
      <c r="N17" s="103"/>
    </row>
    <row r="18" spans="1:14" ht="12.75">
      <c r="A18" s="103"/>
      <c r="B18" s="103"/>
      <c r="C18" s="126" t="s">
        <v>48</v>
      </c>
      <c r="D18" s="123"/>
      <c r="E18" s="127">
        <v>348</v>
      </c>
      <c r="F18" s="127">
        <v>178</v>
      </c>
      <c r="G18" s="54">
        <v>-12</v>
      </c>
      <c r="H18" s="128">
        <f t="shared" ref="H18:L18" si="6">FORECAST(H5,$E18:G18,$E5:G5)</f>
        <v>-188.66666666668607</v>
      </c>
      <c r="I18" s="128">
        <f t="shared" si="6"/>
        <v>-368.66666666674428</v>
      </c>
      <c r="J18" s="128">
        <f t="shared" si="6"/>
        <v>-548.66666666668607</v>
      </c>
      <c r="K18" s="128">
        <f t="shared" si="6"/>
        <v>-728.66666666668607</v>
      </c>
      <c r="L18" s="129">
        <f t="shared" si="6"/>
        <v>-908.66666666674428</v>
      </c>
      <c r="M18" s="103"/>
      <c r="N18" s="103"/>
    </row>
    <row r="19" spans="1:14" ht="12.75">
      <c r="A19" s="103"/>
      <c r="B19" s="103"/>
      <c r="C19" s="126" t="s">
        <v>50</v>
      </c>
      <c r="D19" s="123"/>
      <c r="E19" s="127">
        <v>7300</v>
      </c>
      <c r="F19" s="127">
        <v>-1054</v>
      </c>
      <c r="G19" s="54">
        <v>3357</v>
      </c>
      <c r="H19" s="128">
        <f t="shared" ref="H19:L19" si="7">FORECAST(H5,$E19:G19,$E5:G5)</f>
        <v>-742</v>
      </c>
      <c r="I19" s="128">
        <f t="shared" si="7"/>
        <v>-2713.5</v>
      </c>
      <c r="J19" s="128">
        <f t="shared" si="7"/>
        <v>-4685</v>
      </c>
      <c r="K19" s="128">
        <f t="shared" si="7"/>
        <v>-6656.5</v>
      </c>
      <c r="L19" s="129">
        <f t="shared" si="7"/>
        <v>-8628</v>
      </c>
      <c r="M19" s="103"/>
      <c r="N19" s="103"/>
    </row>
    <row r="20" spans="1:14" ht="12.75">
      <c r="A20" s="103"/>
      <c r="B20" s="103"/>
      <c r="C20" s="126" t="s">
        <v>70</v>
      </c>
      <c r="D20" s="123"/>
      <c r="E20" s="127">
        <v>123</v>
      </c>
      <c r="F20" s="127">
        <v>108</v>
      </c>
      <c r="G20" s="54">
        <v>187</v>
      </c>
      <c r="H20" s="128">
        <f t="shared" ref="H20:L20" si="8">FORECAST(H5,$E20:G20,$E5:G5)</f>
        <v>203.33333333333576</v>
      </c>
      <c r="I20" s="128">
        <f t="shared" si="8"/>
        <v>235.33333333334303</v>
      </c>
      <c r="J20" s="128">
        <f t="shared" si="8"/>
        <v>267.33333333333576</v>
      </c>
      <c r="K20" s="128">
        <f t="shared" si="8"/>
        <v>299.33333333333576</v>
      </c>
      <c r="L20" s="129">
        <f t="shared" si="8"/>
        <v>331.33333333334303</v>
      </c>
      <c r="M20" s="103"/>
      <c r="N20" s="103"/>
    </row>
    <row r="21" spans="1:14" ht="12.75">
      <c r="A21" s="103"/>
      <c r="B21" s="103"/>
      <c r="C21" s="130" t="s">
        <v>71</v>
      </c>
      <c r="D21" s="12"/>
      <c r="E21" s="13">
        <v>1239</v>
      </c>
      <c r="F21" s="13">
        <v>-527</v>
      </c>
      <c r="G21" s="14">
        <v>941</v>
      </c>
      <c r="H21" s="128">
        <f t="shared" ref="H21:L21" si="9">FORECAST(H5,$E21:G21,$E5:G5)</f>
        <v>253</v>
      </c>
      <c r="I21" s="128">
        <f t="shared" si="9"/>
        <v>104</v>
      </c>
      <c r="J21" s="128">
        <f t="shared" si="9"/>
        <v>-45</v>
      </c>
      <c r="K21" s="128">
        <f t="shared" si="9"/>
        <v>-194</v>
      </c>
      <c r="L21" s="129">
        <f t="shared" si="9"/>
        <v>-343</v>
      </c>
      <c r="M21" s="103"/>
      <c r="N21" s="103"/>
    </row>
    <row r="22" spans="1:14" ht="12.75">
      <c r="A22" s="103"/>
      <c r="B22" s="103"/>
      <c r="C22" s="130" t="s">
        <v>72</v>
      </c>
      <c r="D22" s="12"/>
      <c r="E22" s="56">
        <f t="shared" ref="E22:L22" si="10">SUM(E9:E21)</f>
        <v>13617.869999999999</v>
      </c>
      <c r="F22" s="56">
        <f t="shared" si="10"/>
        <v>4109.143</v>
      </c>
      <c r="G22" s="56">
        <f t="shared" si="10"/>
        <v>11970.208000000001</v>
      </c>
      <c r="H22" s="57">
        <f t="shared" si="10"/>
        <v>4265.6783333334333</v>
      </c>
      <c r="I22" s="58">
        <f t="shared" si="10"/>
        <v>1942.1923333337254</v>
      </c>
      <c r="J22" s="58">
        <f t="shared" si="10"/>
        <v>-404.4092166665032</v>
      </c>
      <c r="K22" s="58">
        <f t="shared" si="10"/>
        <v>-2459.0162450593543</v>
      </c>
      <c r="L22" s="191">
        <f t="shared" si="10"/>
        <v>-4809.7392869458236</v>
      </c>
      <c r="M22" s="103"/>
      <c r="N22" s="103"/>
    </row>
    <row r="23" spans="1:14" ht="12.75">
      <c r="A23" s="103"/>
      <c r="B23" s="103"/>
      <c r="C23" s="516" t="s">
        <v>73</v>
      </c>
      <c r="D23" s="135"/>
      <c r="E23" s="150">
        <f t="shared" ref="E23:L23" si="11">E7+E22</f>
        <v>15495.869999999999</v>
      </c>
      <c r="F23" s="150">
        <f t="shared" si="11"/>
        <v>-1196.857</v>
      </c>
      <c r="G23" s="150">
        <f t="shared" si="11"/>
        <v>-2230.7919999999995</v>
      </c>
      <c r="H23" s="27">
        <f t="shared" si="11"/>
        <v>2654.9171500003426</v>
      </c>
      <c r="I23" s="150">
        <f t="shared" si="11"/>
        <v>61306.425362685513</v>
      </c>
      <c r="J23" s="150">
        <f t="shared" si="11"/>
        <v>69715.162332641019</v>
      </c>
      <c r="K23" s="150">
        <f t="shared" si="11"/>
        <v>83367.786039681974</v>
      </c>
      <c r="L23" s="158">
        <f t="shared" si="11"/>
        <v>94318.252254574749</v>
      </c>
      <c r="M23" s="103"/>
      <c r="N23" s="103"/>
    </row>
    <row r="24" spans="1:14" ht="12.75">
      <c r="A24" s="103"/>
      <c r="B24" s="103"/>
      <c r="C24" s="132"/>
      <c r="D24" s="123"/>
      <c r="E24" s="123"/>
      <c r="F24" s="123"/>
      <c r="G24" s="123"/>
      <c r="H24" s="33"/>
      <c r="I24" s="123"/>
      <c r="J24" s="123"/>
      <c r="K24" s="123"/>
      <c r="L24" s="125"/>
      <c r="M24" s="103"/>
      <c r="N24" s="103"/>
    </row>
    <row r="25" spans="1:14" ht="12.75">
      <c r="A25" s="103"/>
      <c r="B25" s="103"/>
      <c r="C25" s="122" t="s">
        <v>74</v>
      </c>
      <c r="D25" s="123"/>
      <c r="E25" s="123"/>
      <c r="F25" s="123"/>
      <c r="G25" s="123"/>
      <c r="H25" s="33"/>
      <c r="I25" s="123"/>
      <c r="J25" s="123"/>
      <c r="K25" s="123"/>
      <c r="L25" s="125"/>
      <c r="M25" s="103"/>
      <c r="N25" s="103"/>
    </row>
    <row r="26" spans="1:14" ht="12.75">
      <c r="A26" s="103"/>
      <c r="B26" s="103"/>
      <c r="C26" s="126" t="s">
        <v>30</v>
      </c>
      <c r="D26" s="123"/>
      <c r="E26" s="127">
        <v>-15102</v>
      </c>
      <c r="F26" s="127">
        <v>-15115</v>
      </c>
      <c r="G26" s="127">
        <v>-18567</v>
      </c>
      <c r="H26" s="28">
        <f>FORECAST(H5,$E26:G26,$E5:G5)</f>
        <v>-19726.333333333489</v>
      </c>
      <c r="I26" s="128">
        <f>H26*(1+20%)</f>
        <v>-23671.600000000184</v>
      </c>
      <c r="J26" s="128">
        <f>I26*(1-10%)</f>
        <v>-21304.440000000166</v>
      </c>
      <c r="K26" s="128">
        <f>J26*(1-10%)</f>
        <v>-19173.996000000148</v>
      </c>
      <c r="L26" s="129">
        <f>K26*(1-10%)</f>
        <v>-17256.596400000133</v>
      </c>
      <c r="M26" s="103"/>
      <c r="N26" s="103"/>
    </row>
    <row r="27" spans="1:14" ht="12.75">
      <c r="A27" s="103"/>
      <c r="B27" s="103"/>
      <c r="C27" s="126" t="s">
        <v>75</v>
      </c>
      <c r="D27" s="123"/>
      <c r="E27" s="127">
        <v>-23910</v>
      </c>
      <c r="F27" s="127">
        <v>-33930</v>
      </c>
      <c r="G27" s="127">
        <v>-30407</v>
      </c>
      <c r="H27" s="28">
        <f t="shared" ref="H27" si="12">FORECAST(H5,$E27:G27,$E5:G5)</f>
        <v>-35912.666666666977</v>
      </c>
      <c r="I27" s="128">
        <f>H27*(1-10%)</f>
        <v>-32321.400000000282</v>
      </c>
      <c r="J27" s="128">
        <f t="shared" ref="J27:L27" si="13">I27*(1-10%)</f>
        <v>-29089.260000000253</v>
      </c>
      <c r="K27" s="128">
        <f t="shared" si="13"/>
        <v>-26180.334000000228</v>
      </c>
      <c r="L27" s="128">
        <f t="shared" si="13"/>
        <v>-23562.300600000206</v>
      </c>
      <c r="M27" s="103"/>
      <c r="N27" s="103"/>
    </row>
    <row r="28" spans="1:14" ht="12.75">
      <c r="A28" s="103"/>
      <c r="B28" s="103"/>
      <c r="C28" s="126" t="s">
        <v>76</v>
      </c>
      <c r="D28" s="123"/>
      <c r="E28" s="127">
        <v>9565</v>
      </c>
      <c r="F28" s="127">
        <v>11787</v>
      </c>
      <c r="G28" s="127">
        <v>31671</v>
      </c>
      <c r="H28" s="28">
        <f t="shared" ref="H28:L28" si="14">FORECAST(H5,$E28:G28,$E5:G5)</f>
        <v>39780.333333332092</v>
      </c>
      <c r="I28" s="128">
        <f t="shared" si="14"/>
        <v>50833.333333328366</v>
      </c>
      <c r="J28" s="128">
        <f t="shared" si="14"/>
        <v>61886.333333332092</v>
      </c>
      <c r="K28" s="128">
        <f t="shared" si="14"/>
        <v>72939.333333332092</v>
      </c>
      <c r="L28" s="129">
        <f t="shared" si="14"/>
        <v>83992.333333328366</v>
      </c>
      <c r="M28" s="103"/>
      <c r="N28" s="103"/>
    </row>
    <row r="29" spans="1:14" ht="12.75">
      <c r="A29" s="103"/>
      <c r="B29" s="103"/>
      <c r="C29" s="126" t="s">
        <v>77</v>
      </c>
      <c r="D29" s="123"/>
      <c r="E29" s="127">
        <v>10152</v>
      </c>
      <c r="F29" s="127">
        <v>13984</v>
      </c>
      <c r="G29" s="127">
        <v>10915</v>
      </c>
      <c r="H29" s="28">
        <f t="shared" ref="H29:L29" si="15">FORECAST(H5,$E29:G29,$E5:G5)</f>
        <v>12446.666666666628</v>
      </c>
      <c r="I29" s="128">
        <f t="shared" si="15"/>
        <v>12828.166666666511</v>
      </c>
      <c r="J29" s="128">
        <f t="shared" si="15"/>
        <v>13209.666666666628</v>
      </c>
      <c r="K29" s="128">
        <f t="shared" si="15"/>
        <v>13591.166666666628</v>
      </c>
      <c r="L29" s="129">
        <f t="shared" si="15"/>
        <v>13972.666666666511</v>
      </c>
      <c r="M29" s="103"/>
      <c r="N29" s="103"/>
    </row>
    <row r="30" spans="1:14" ht="12.75">
      <c r="A30" s="103"/>
      <c r="B30" s="103"/>
      <c r="C30" s="126" t="s">
        <v>78</v>
      </c>
      <c r="D30" s="123"/>
      <c r="E30" s="127">
        <v>-61</v>
      </c>
      <c r="F30" s="127">
        <v>-6361</v>
      </c>
      <c r="G30" s="127">
        <v>-47</v>
      </c>
      <c r="H30" s="28">
        <f t="shared" ref="H30:L30" si="16">FORECAST(H5,$E30:G30,$E5:G5)</f>
        <v>-2142.3333333333339</v>
      </c>
      <c r="I30" s="128">
        <f t="shared" si="16"/>
        <v>-2135.3333333333358</v>
      </c>
      <c r="J30" s="128">
        <f t="shared" si="16"/>
        <v>-2128.3333333333339</v>
      </c>
      <c r="K30" s="128">
        <f t="shared" si="16"/>
        <v>-2121.3333333333339</v>
      </c>
      <c r="L30" s="129">
        <f t="shared" si="16"/>
        <v>-2114.3333333333358</v>
      </c>
      <c r="M30" s="103"/>
      <c r="N30" s="103"/>
    </row>
    <row r="31" spans="1:14" ht="12.75">
      <c r="A31" s="103"/>
      <c r="B31" s="103"/>
      <c r="C31" s="126" t="s">
        <v>79</v>
      </c>
      <c r="D31" s="123"/>
      <c r="E31" s="127">
        <v>-508</v>
      </c>
      <c r="F31" s="127">
        <v>-388</v>
      </c>
      <c r="G31" s="127">
        <v>-851</v>
      </c>
      <c r="H31" s="28">
        <f t="shared" ref="H31:L31" si="17">FORECAST(H5,$E31:G31,$E5:G5)</f>
        <v>-925.33333333331393</v>
      </c>
      <c r="I31" s="128">
        <f t="shared" si="17"/>
        <v>-1096.8333333332557</v>
      </c>
      <c r="J31" s="128">
        <f t="shared" si="17"/>
        <v>-1268.3333333333139</v>
      </c>
      <c r="K31" s="128">
        <f t="shared" si="17"/>
        <v>-1439.8333333333139</v>
      </c>
      <c r="L31" s="129">
        <f t="shared" si="17"/>
        <v>-1611.3333333332557</v>
      </c>
      <c r="M31" s="103"/>
      <c r="N31" s="103"/>
    </row>
    <row r="32" spans="1:14" ht="12.75">
      <c r="A32" s="103"/>
      <c r="B32" s="103"/>
      <c r="C32" s="130" t="s">
        <v>80</v>
      </c>
      <c r="D32" s="12"/>
      <c r="E32" s="13">
        <v>0</v>
      </c>
      <c r="F32" s="13">
        <v>-36</v>
      </c>
      <c r="G32" s="13">
        <v>-284</v>
      </c>
      <c r="H32" s="31">
        <f t="shared" ref="H32:L32" si="18">FORECAST(H5,$E32:G32,$E5:G5)</f>
        <v>-390.66666666668607</v>
      </c>
      <c r="I32" s="32">
        <f t="shared" si="18"/>
        <v>-532.66666666674428</v>
      </c>
      <c r="J32" s="32">
        <f t="shared" si="18"/>
        <v>-674.66666666668607</v>
      </c>
      <c r="K32" s="32">
        <f t="shared" si="18"/>
        <v>-816.66666666668607</v>
      </c>
      <c r="L32" s="173">
        <f t="shared" si="18"/>
        <v>-958.66666666674428</v>
      </c>
      <c r="M32" s="103"/>
      <c r="N32" s="103"/>
    </row>
    <row r="33" spans="1:14" ht="12.75">
      <c r="A33" s="103"/>
      <c r="B33" s="103"/>
      <c r="C33" s="517" t="s">
        <v>81</v>
      </c>
      <c r="D33" s="131"/>
      <c r="E33" s="150">
        <f t="shared" ref="E33:L33" si="19">SUM(E26:E32)</f>
        <v>-19864</v>
      </c>
      <c r="F33" s="150">
        <f t="shared" si="19"/>
        <v>-30059</v>
      </c>
      <c r="G33" s="150">
        <f t="shared" si="19"/>
        <v>-7570</v>
      </c>
      <c r="H33" s="27">
        <f t="shared" si="19"/>
        <v>-6870.3333333350802</v>
      </c>
      <c r="I33" s="150">
        <f t="shared" si="19"/>
        <v>3903.6666666610763</v>
      </c>
      <c r="J33" s="150">
        <f t="shared" si="19"/>
        <v>20630.966666664965</v>
      </c>
      <c r="K33" s="150">
        <f t="shared" si="19"/>
        <v>36798.336666665004</v>
      </c>
      <c r="L33" s="158">
        <f t="shared" si="19"/>
        <v>52461.769666661203</v>
      </c>
      <c r="M33" s="103"/>
      <c r="N33" s="103"/>
    </row>
    <row r="34" spans="1:14" ht="12.75">
      <c r="A34" s="103"/>
      <c r="B34" s="103"/>
      <c r="C34" s="132"/>
      <c r="D34" s="123"/>
      <c r="E34" s="123"/>
      <c r="F34" s="123"/>
      <c r="G34" s="123"/>
      <c r="H34" s="33"/>
      <c r="I34" s="123"/>
      <c r="J34" s="123"/>
      <c r="K34" s="123"/>
      <c r="L34" s="125"/>
      <c r="M34" s="103"/>
      <c r="N34" s="103"/>
    </row>
    <row r="35" spans="1:14" ht="12.75">
      <c r="A35" s="103"/>
      <c r="B35" s="103"/>
      <c r="C35" s="122" t="s">
        <v>82</v>
      </c>
      <c r="D35" s="123"/>
      <c r="E35" s="123"/>
      <c r="F35" s="123"/>
      <c r="G35" s="123"/>
      <c r="H35" s="33"/>
      <c r="I35" s="123"/>
      <c r="J35" s="123"/>
      <c r="K35" s="123"/>
      <c r="L35" s="125"/>
      <c r="M35" s="103"/>
      <c r="N35" s="103"/>
    </row>
    <row r="36" spans="1:14" ht="12.75">
      <c r="A36" s="103"/>
      <c r="B36" s="103"/>
      <c r="C36" s="126" t="s">
        <v>83</v>
      </c>
      <c r="D36" s="123"/>
      <c r="E36" s="127">
        <v>-2337</v>
      </c>
      <c r="F36" s="127">
        <v>-3564</v>
      </c>
      <c r="G36" s="127">
        <v>-5515</v>
      </c>
      <c r="H36" s="28">
        <f t="shared" ref="H36:L36" si="20">FORECAST(H5,$E36:G36,$E5:G5)</f>
        <v>-6983.3333333334886</v>
      </c>
      <c r="I36" s="128">
        <f t="shared" si="20"/>
        <v>-8572.3333333339542</v>
      </c>
      <c r="J36" s="128">
        <f t="shared" si="20"/>
        <v>-10161.333333333489</v>
      </c>
      <c r="K36" s="128">
        <f t="shared" si="20"/>
        <v>-11750.333333333489</v>
      </c>
      <c r="L36" s="129">
        <f t="shared" si="20"/>
        <v>-13339.333333333954</v>
      </c>
      <c r="M36" s="103"/>
      <c r="N36" s="103"/>
    </row>
    <row r="37" spans="1:14" ht="12.75">
      <c r="A37" s="103"/>
      <c r="B37" s="103"/>
      <c r="C37" s="126" t="s">
        <v>84</v>
      </c>
      <c r="D37" s="123"/>
      <c r="E37" s="127">
        <v>-4202</v>
      </c>
      <c r="F37" s="127">
        <v>-6272</v>
      </c>
      <c r="G37" s="127">
        <v>-44537</v>
      </c>
      <c r="H37" s="28">
        <f t="shared" ref="H37:L37" si="21">FORECAST(H5,$E37:G37,$E5:G5)</f>
        <v>-58672</v>
      </c>
      <c r="I37" s="128">
        <f t="shared" si="21"/>
        <v>-78839.5</v>
      </c>
      <c r="J37" s="128">
        <f t="shared" si="21"/>
        <v>-99007</v>
      </c>
      <c r="K37" s="128">
        <f t="shared" si="21"/>
        <v>-119174.5</v>
      </c>
      <c r="L37" s="129">
        <f t="shared" si="21"/>
        <v>-139342</v>
      </c>
      <c r="M37" s="103"/>
      <c r="N37" s="103"/>
    </row>
    <row r="38" spans="1:14" ht="12.75">
      <c r="A38" s="103"/>
      <c r="B38" s="103"/>
      <c r="C38" s="126" t="s">
        <v>85</v>
      </c>
      <c r="D38" s="123"/>
      <c r="E38" s="127">
        <v>-552</v>
      </c>
      <c r="F38" s="127">
        <v>-604</v>
      </c>
      <c r="G38" s="127">
        <v>-677</v>
      </c>
      <c r="H38" s="28">
        <f t="shared" ref="H38:L38" si="22">FORECAST(H5,$E38:G38,$E5:G5)</f>
        <v>-736</v>
      </c>
      <c r="I38" s="128">
        <f t="shared" si="22"/>
        <v>-798.5</v>
      </c>
      <c r="J38" s="128">
        <f t="shared" si="22"/>
        <v>-861</v>
      </c>
      <c r="K38" s="128">
        <f t="shared" si="22"/>
        <v>-923.5</v>
      </c>
      <c r="L38" s="129">
        <f t="shared" si="22"/>
        <v>-986</v>
      </c>
      <c r="M38" s="103"/>
      <c r="N38" s="103"/>
    </row>
    <row r="39" spans="1:14" ht="12.75">
      <c r="A39" s="103"/>
      <c r="B39" s="103"/>
      <c r="C39" s="126" t="s">
        <v>86</v>
      </c>
      <c r="D39" s="123"/>
      <c r="E39" s="127">
        <v>-223</v>
      </c>
      <c r="F39" s="127">
        <v>24</v>
      </c>
      <c r="G39" s="127">
        <v>14</v>
      </c>
      <c r="H39" s="28">
        <f t="shared" ref="H39:L39" si="23">FORECAST(H5,$E39:G39,$E5:G5)</f>
        <v>175.33333333334303</v>
      </c>
      <c r="I39" s="128">
        <f t="shared" si="23"/>
        <v>293.83333333337214</v>
      </c>
      <c r="J39" s="128">
        <f t="shared" si="23"/>
        <v>412.33333333334303</v>
      </c>
      <c r="K39" s="128">
        <f t="shared" si="23"/>
        <v>530.83333333334303</v>
      </c>
      <c r="L39" s="129">
        <f t="shared" si="23"/>
        <v>649.33333333337214</v>
      </c>
      <c r="M39" s="103"/>
      <c r="N39" s="103"/>
    </row>
    <row r="40" spans="1:14" ht="12.75">
      <c r="A40" s="103"/>
      <c r="B40" s="103"/>
      <c r="C40" s="126" t="s">
        <v>87</v>
      </c>
      <c r="D40" s="123"/>
      <c r="E40" s="127">
        <v>0</v>
      </c>
      <c r="F40" s="127">
        <v>0</v>
      </c>
      <c r="G40" s="127">
        <v>0</v>
      </c>
      <c r="H40" s="28">
        <f t="shared" ref="H40:L40" si="24">FORECAST(H5,$E40:G40,$E5:G5)</f>
        <v>0</v>
      </c>
      <c r="I40" s="128">
        <f t="shared" si="24"/>
        <v>0</v>
      </c>
      <c r="J40" s="128">
        <f t="shared" si="24"/>
        <v>0</v>
      </c>
      <c r="K40" s="128">
        <f t="shared" si="24"/>
        <v>0</v>
      </c>
      <c r="L40" s="129">
        <f t="shared" si="24"/>
        <v>0</v>
      </c>
      <c r="M40" s="103"/>
      <c r="N40" s="103"/>
    </row>
    <row r="41" spans="1:14" ht="12.75">
      <c r="A41" s="103"/>
      <c r="B41" s="103"/>
      <c r="C41" s="130" t="s">
        <v>88</v>
      </c>
      <c r="D41" s="12"/>
      <c r="E41" s="13">
        <v>15</v>
      </c>
      <c r="F41" s="13">
        <v>124</v>
      </c>
      <c r="G41" s="13">
        <v>-13</v>
      </c>
      <c r="H41" s="31">
        <f t="shared" ref="H41:L41" si="25">FORECAST(H5,$E41:G41,$E5:G5)</f>
        <v>14</v>
      </c>
      <c r="I41" s="32">
        <f t="shared" si="25"/>
        <v>0</v>
      </c>
      <c r="J41" s="32">
        <f t="shared" si="25"/>
        <v>-14</v>
      </c>
      <c r="K41" s="32">
        <f t="shared" si="25"/>
        <v>-28</v>
      </c>
      <c r="L41" s="173">
        <f t="shared" si="25"/>
        <v>-42</v>
      </c>
      <c r="M41" s="103"/>
      <c r="N41" s="103"/>
    </row>
    <row r="42" spans="1:14" ht="12.75">
      <c r="A42" s="103"/>
      <c r="B42" s="103"/>
      <c r="C42" s="517" t="s">
        <v>89</v>
      </c>
      <c r="D42" s="131"/>
      <c r="E42" s="150">
        <f t="shared" ref="E42:L42" si="26">SUM(E36:E41)</f>
        <v>-7299</v>
      </c>
      <c r="F42" s="150">
        <f t="shared" si="26"/>
        <v>-10292</v>
      </c>
      <c r="G42" s="150">
        <f t="shared" si="26"/>
        <v>-50728</v>
      </c>
      <c r="H42" s="27">
        <f t="shared" si="26"/>
        <v>-66202.000000000146</v>
      </c>
      <c r="I42" s="150">
        <f t="shared" si="26"/>
        <v>-87916.500000000582</v>
      </c>
      <c r="J42" s="150">
        <f t="shared" si="26"/>
        <v>-109631.00000000015</v>
      </c>
      <c r="K42" s="150">
        <f t="shared" si="26"/>
        <v>-131345.50000000015</v>
      </c>
      <c r="L42" s="158">
        <f t="shared" si="26"/>
        <v>-153060.00000000058</v>
      </c>
      <c r="M42" s="103"/>
      <c r="N42" s="103"/>
    </row>
    <row r="43" spans="1:14" ht="12.75">
      <c r="A43" s="103"/>
      <c r="B43" s="103"/>
      <c r="C43" s="132"/>
      <c r="D43" s="123"/>
      <c r="E43" s="123"/>
      <c r="F43" s="123"/>
      <c r="G43" s="123"/>
      <c r="H43" s="33"/>
      <c r="I43" s="123"/>
      <c r="J43" s="123"/>
      <c r="K43" s="123"/>
      <c r="L43" s="125"/>
      <c r="M43" s="103"/>
      <c r="N43" s="103"/>
    </row>
    <row r="44" spans="1:14" ht="12.75">
      <c r="A44" s="103"/>
      <c r="B44" s="103"/>
      <c r="C44" s="126" t="s">
        <v>90</v>
      </c>
      <c r="D44" s="123"/>
      <c r="E44" s="127">
        <v>4</v>
      </c>
      <c r="F44" s="127">
        <v>279</v>
      </c>
      <c r="G44" s="127">
        <v>-474</v>
      </c>
      <c r="H44" s="28">
        <f t="shared" ref="H44:L44" si="27">FORECAST(H5,$E44:G44,$E5:G5)</f>
        <v>-541.66666666668607</v>
      </c>
      <c r="I44" s="128">
        <f t="shared" si="27"/>
        <v>-780.66666666674428</v>
      </c>
      <c r="J44" s="128">
        <f t="shared" si="27"/>
        <v>-1019.6666666666861</v>
      </c>
      <c r="K44" s="128">
        <f t="shared" si="27"/>
        <v>-1258.6666666666861</v>
      </c>
      <c r="L44" s="129">
        <f t="shared" si="27"/>
        <v>-1497.6666666667443</v>
      </c>
      <c r="M44" s="103"/>
      <c r="N44" s="103"/>
    </row>
    <row r="45" spans="1:14" ht="12.75">
      <c r="A45" s="103"/>
      <c r="B45" s="103"/>
      <c r="C45" s="518" t="s">
        <v>91</v>
      </c>
      <c r="D45" s="123"/>
      <c r="E45" s="519">
        <f t="shared" ref="E45:L45" si="28">E23+E33+E42+E44</f>
        <v>-11663.130000000001</v>
      </c>
      <c r="F45" s="519">
        <f t="shared" si="28"/>
        <v>-41268.857000000004</v>
      </c>
      <c r="G45" s="519">
        <f t="shared" si="28"/>
        <v>-61002.792000000001</v>
      </c>
      <c r="H45" s="29">
        <f t="shared" si="28"/>
        <v>-70959.082850001563</v>
      </c>
      <c r="I45" s="152">
        <f t="shared" si="28"/>
        <v>-23487.074637320737</v>
      </c>
      <c r="J45" s="152">
        <f t="shared" si="28"/>
        <v>-20304.537667360855</v>
      </c>
      <c r="K45" s="152">
        <f t="shared" si="28"/>
        <v>-12438.043960319861</v>
      </c>
      <c r="L45" s="153">
        <f t="shared" si="28"/>
        <v>-7777.6447454313748</v>
      </c>
      <c r="M45" s="103"/>
      <c r="N45" s="103"/>
    </row>
    <row r="46" spans="1:14" ht="12.75">
      <c r="A46" s="103"/>
      <c r="B46" s="103"/>
      <c r="C46" s="132"/>
      <c r="D46" s="123"/>
      <c r="E46" s="123"/>
      <c r="F46" s="123"/>
      <c r="G46" s="123"/>
      <c r="H46" s="33"/>
      <c r="I46" s="123"/>
      <c r="J46" s="123"/>
      <c r="K46" s="123"/>
      <c r="L46" s="125"/>
      <c r="M46" s="103"/>
      <c r="N46" s="103"/>
    </row>
    <row r="47" spans="1:14" ht="12.75">
      <c r="A47" s="103"/>
      <c r="B47" s="103"/>
      <c r="C47" s="126" t="s">
        <v>92</v>
      </c>
      <c r="D47" s="123"/>
      <c r="E47" s="192">
        <v>10124</v>
      </c>
      <c r="F47" s="152">
        <f t="shared" ref="F47:L47" si="29">E48</f>
        <v>-1539.130000000001</v>
      </c>
      <c r="G47" s="152">
        <f t="shared" si="29"/>
        <v>-42807.987000000008</v>
      </c>
      <c r="H47" s="29">
        <f t="shared" si="29"/>
        <v>-103810.77900000001</v>
      </c>
      <c r="I47" s="152">
        <f t="shared" si="29"/>
        <v>-174769.86185000156</v>
      </c>
      <c r="J47" s="152">
        <f t="shared" si="29"/>
        <v>-198256.93648732229</v>
      </c>
      <c r="K47" s="152">
        <f t="shared" si="29"/>
        <v>-218561.47415468315</v>
      </c>
      <c r="L47" s="153">
        <f t="shared" si="29"/>
        <v>-230999.51811500301</v>
      </c>
      <c r="M47" s="103"/>
      <c r="N47" s="103"/>
    </row>
    <row r="48" spans="1:14" ht="12.75">
      <c r="A48" s="103"/>
      <c r="B48" s="103"/>
      <c r="C48" s="126" t="s">
        <v>93</v>
      </c>
      <c r="D48" s="123"/>
      <c r="E48" s="152">
        <f t="shared" ref="E48:L48" si="30">E47+E45</f>
        <v>-1539.130000000001</v>
      </c>
      <c r="F48" s="152">
        <f t="shared" si="30"/>
        <v>-42807.987000000008</v>
      </c>
      <c r="G48" s="152">
        <f t="shared" si="30"/>
        <v>-103810.77900000001</v>
      </c>
      <c r="H48" s="29">
        <f t="shared" si="30"/>
        <v>-174769.86185000156</v>
      </c>
      <c r="I48" s="152">
        <f t="shared" si="30"/>
        <v>-198256.93648732229</v>
      </c>
      <c r="J48" s="152">
        <f t="shared" si="30"/>
        <v>-218561.47415468315</v>
      </c>
      <c r="K48" s="152">
        <f t="shared" si="30"/>
        <v>-230999.51811500301</v>
      </c>
      <c r="L48" s="153">
        <f t="shared" si="30"/>
        <v>-238777.16286043439</v>
      </c>
      <c r="M48" s="103"/>
      <c r="N48" s="103"/>
    </row>
    <row r="49" spans="1:14" ht="12.75">
      <c r="A49" s="103"/>
      <c r="B49" s="103"/>
      <c r="C49" s="132"/>
      <c r="D49" s="123"/>
      <c r="E49" s="123"/>
      <c r="F49" s="123"/>
      <c r="G49" s="123"/>
      <c r="H49" s="33"/>
      <c r="I49" s="123"/>
      <c r="J49" s="123"/>
      <c r="K49" s="123"/>
      <c r="L49" s="125"/>
      <c r="M49" s="103"/>
      <c r="N49" s="103"/>
    </row>
    <row r="50" spans="1:14" ht="13.5" thickBot="1">
      <c r="A50" s="103"/>
      <c r="B50" s="103"/>
      <c r="C50" s="260" t="s">
        <v>94</v>
      </c>
      <c r="D50" s="261"/>
      <c r="E50" s="262">
        <f t="shared" ref="E50:L50" si="31">E23+E26</f>
        <v>393.86999999999898</v>
      </c>
      <c r="F50" s="262">
        <f t="shared" si="31"/>
        <v>-16311.857</v>
      </c>
      <c r="G50" s="262">
        <f t="shared" si="31"/>
        <v>-20797.792000000001</v>
      </c>
      <c r="H50" s="263">
        <f t="shared" si="31"/>
        <v>-17071.416183333145</v>
      </c>
      <c r="I50" s="262">
        <f t="shared" si="31"/>
        <v>37634.825362685326</v>
      </c>
      <c r="J50" s="262">
        <f t="shared" si="31"/>
        <v>48410.722332640857</v>
      </c>
      <c r="K50" s="262">
        <f t="shared" si="31"/>
        <v>64193.79003968183</v>
      </c>
      <c r="L50" s="264">
        <f t="shared" si="31"/>
        <v>77061.655854574608</v>
      </c>
      <c r="M50" s="103"/>
      <c r="N50" s="103"/>
    </row>
    <row r="51" spans="1:14" ht="12.75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</row>
    <row r="52" spans="1:14" ht="15.75" customHeight="1">
      <c r="A52" s="110"/>
      <c r="B52" s="110"/>
      <c r="M52" s="110"/>
      <c r="N52" s="110"/>
    </row>
    <row r="53" spans="1:14" ht="15.75" customHeight="1">
      <c r="A53" s="110"/>
      <c r="B53" s="110"/>
      <c r="M53" s="110"/>
      <c r="N53" s="110"/>
    </row>
    <row r="54" spans="1:14" ht="15.75" customHeight="1">
      <c r="A54" s="110"/>
      <c r="B54" s="110"/>
      <c r="M54" s="110"/>
      <c r="N54" s="110"/>
    </row>
    <row r="55" spans="1:14" ht="15.75" customHeight="1">
      <c r="A55" s="110"/>
      <c r="B55" s="110"/>
      <c r="M55" s="110"/>
      <c r="N55" s="110"/>
    </row>
    <row r="56" spans="1:14" ht="15.75" customHeight="1">
      <c r="A56" s="110"/>
      <c r="B56" s="110"/>
      <c r="M56" s="110"/>
      <c r="N56" s="110"/>
    </row>
    <row r="57" spans="1:14" ht="15.75" customHeight="1">
      <c r="M57" s="110"/>
      <c r="N57" s="110"/>
    </row>
    <row r="58" spans="1:14" ht="15.75" customHeight="1">
      <c r="M58" s="110"/>
      <c r="N58" s="110"/>
    </row>
    <row r="59" spans="1:14" ht="15.75" customHeight="1">
      <c r="M59" s="110"/>
      <c r="N59" s="110"/>
    </row>
    <row r="60" spans="1:14" ht="15.75" customHeight="1">
      <c r="M60" s="110"/>
      <c r="N60" s="110"/>
    </row>
    <row r="61" spans="1:14" ht="15.75" customHeight="1">
      <c r="M61" s="110"/>
      <c r="N61" s="110"/>
    </row>
    <row r="62" spans="1:14" ht="15.75" customHeight="1">
      <c r="M62" s="110"/>
      <c r="N62" s="110"/>
    </row>
  </sheetData>
  <mergeCells count="1">
    <mergeCell ref="H4:L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outlinePr summaryBelow="0" summaryRight="0"/>
  </sheetPr>
  <dimension ref="A1:S51"/>
  <sheetViews>
    <sheetView showGridLines="0" topLeftCell="A13" workbookViewId="0">
      <selection activeCell="L28" sqref="L28"/>
    </sheetView>
  </sheetViews>
  <sheetFormatPr defaultColWidth="12.7109375" defaultRowHeight="15.75" customHeight="1"/>
  <cols>
    <col min="3" max="3" width="27.85546875" customWidth="1"/>
    <col min="4" max="4" width="22.140625" customWidth="1"/>
  </cols>
  <sheetData>
    <row r="1" spans="1:17" ht="13.5" thickBo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10"/>
      <c r="Q1" s="110"/>
    </row>
    <row r="2" spans="1:17" ht="12.75">
      <c r="A2" s="103"/>
      <c r="B2" s="103"/>
      <c r="C2" s="112" t="s">
        <v>260</v>
      </c>
      <c r="D2" s="113"/>
      <c r="E2" s="113"/>
      <c r="F2" s="113"/>
      <c r="G2" s="113"/>
      <c r="H2" s="113"/>
      <c r="I2" s="113"/>
      <c r="J2" s="113"/>
      <c r="K2" s="113"/>
      <c r="L2" s="113"/>
      <c r="M2" s="114"/>
      <c r="N2" s="103"/>
      <c r="O2" s="103"/>
      <c r="P2" s="110"/>
      <c r="Q2" s="110"/>
    </row>
    <row r="3" spans="1:17" ht="12.75">
      <c r="A3" s="103"/>
      <c r="B3" s="103"/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7"/>
      <c r="N3" s="103"/>
      <c r="O3" s="103"/>
      <c r="P3" s="110"/>
      <c r="Q3" s="110"/>
    </row>
    <row r="4" spans="1:17" ht="12.75">
      <c r="A4" s="103"/>
      <c r="B4" s="103"/>
      <c r="C4" s="118"/>
      <c r="D4" s="119"/>
      <c r="E4" s="119"/>
      <c r="F4" s="50"/>
      <c r="G4" s="50"/>
      <c r="H4" s="50"/>
      <c r="I4" s="598" t="s">
        <v>0</v>
      </c>
      <c r="J4" s="599"/>
      <c r="K4" s="599"/>
      <c r="L4" s="599"/>
      <c r="M4" s="600"/>
      <c r="N4" s="103"/>
      <c r="O4" s="103"/>
      <c r="P4" s="110"/>
      <c r="Q4" s="110"/>
    </row>
    <row r="5" spans="1:17" ht="12.75">
      <c r="A5" s="103"/>
      <c r="B5" s="103"/>
      <c r="C5" s="118"/>
      <c r="D5" s="119"/>
      <c r="E5" s="120"/>
      <c r="F5" s="120">
        <v>2019</v>
      </c>
      <c r="G5" s="120">
        <v>2020</v>
      </c>
      <c r="H5" s="52">
        <v>2021</v>
      </c>
      <c r="I5" s="120">
        <v>2022</v>
      </c>
      <c r="J5" s="120">
        <v>2023</v>
      </c>
      <c r="K5" s="120">
        <v>2024</v>
      </c>
      <c r="L5" s="120">
        <v>2025</v>
      </c>
      <c r="M5" s="121">
        <v>2026</v>
      </c>
      <c r="N5" s="103"/>
      <c r="O5" s="103"/>
      <c r="P5" s="110"/>
      <c r="Q5" s="110"/>
    </row>
    <row r="6" spans="1:17" ht="12.75">
      <c r="A6" s="103"/>
      <c r="B6" s="103"/>
      <c r="C6" s="122" t="s">
        <v>95</v>
      </c>
      <c r="D6" s="123"/>
      <c r="E6" s="123"/>
      <c r="F6" s="123"/>
      <c r="G6" s="123"/>
      <c r="H6" s="34"/>
      <c r="I6" s="123"/>
      <c r="J6" s="123"/>
      <c r="K6" s="123"/>
      <c r="L6" s="123"/>
      <c r="M6" s="125"/>
      <c r="N6" s="103"/>
      <c r="O6" s="103"/>
      <c r="P6" s="110"/>
      <c r="Q6" s="110"/>
    </row>
    <row r="7" spans="1:17" ht="12.75">
      <c r="A7" s="103"/>
      <c r="B7" s="103"/>
      <c r="C7" s="126" t="s">
        <v>96</v>
      </c>
      <c r="D7" s="140" t="s">
        <v>97</v>
      </c>
      <c r="E7" s="123"/>
      <c r="F7" s="160">
        <f>BS!F12/BS!F27</f>
        <v>0.54412529128293297</v>
      </c>
      <c r="G7" s="160">
        <f>BS!G12/BS!G27</f>
        <v>0.84260382112915022</v>
      </c>
      <c r="H7" s="59">
        <f>BS!H12/BS!H27</f>
        <v>0.32173851013533461</v>
      </c>
      <c r="I7" s="169">
        <f>BS!I12/BS!I27</f>
        <v>0.33453133128020274</v>
      </c>
      <c r="J7" s="169">
        <f>BS!J12/BS!J27</f>
        <v>0.37214120020159419</v>
      </c>
      <c r="K7" s="169">
        <f>BS!K12/BS!K27</f>
        <v>0.4025661786728591</v>
      </c>
      <c r="L7" s="169">
        <f>BS!L12/BS!L27</f>
        <v>0.42789105085640738</v>
      </c>
      <c r="M7" s="170">
        <f>BS!M12/BS!M27</f>
        <v>0.44949919609894934</v>
      </c>
      <c r="N7" s="103"/>
      <c r="O7" s="103"/>
      <c r="P7" s="110"/>
      <c r="Q7" s="110"/>
    </row>
    <row r="8" spans="1:17" ht="12.75">
      <c r="A8" s="103"/>
      <c r="B8" s="103"/>
      <c r="C8" s="126" t="s">
        <v>98</v>
      </c>
      <c r="D8" s="140" t="s">
        <v>99</v>
      </c>
      <c r="E8" s="123"/>
      <c r="F8" s="160">
        <f>SUM(BS!F12-BS!F10)/BS!F27</f>
        <v>0.54410755305369407</v>
      </c>
      <c r="G8" s="160">
        <f>SUM(BS!G12-BS!G10)/BS!G27</f>
        <v>0.83294435712722292</v>
      </c>
      <c r="H8" s="59">
        <f>SUM(BS!H12-BS!H10)/BS!H27</f>
        <v>0.31814799018222351</v>
      </c>
      <c r="I8" s="169">
        <f>SUM(BS!I12-BS!I10)/BS!I27</f>
        <v>0.33164632989360449</v>
      </c>
      <c r="J8" s="169">
        <f>SUM(BS!J12-BS!J10)/BS!J27</f>
        <v>0.36933160543761562</v>
      </c>
      <c r="K8" s="169">
        <f>SUM(BS!K12-BS!K10)/BS!K27</f>
        <v>0.39979356160373164</v>
      </c>
      <c r="L8" s="169">
        <f>SUM(BS!L12-BS!L10)/BS!L27</f>
        <v>0.42512565859173085</v>
      </c>
      <c r="M8" s="170">
        <f>SUM(BS!M12-BS!M10)/BS!M27</f>
        <v>0.4467168008022922</v>
      </c>
      <c r="N8" s="103"/>
      <c r="O8" s="103"/>
      <c r="P8" s="110"/>
      <c r="Q8" s="110"/>
    </row>
    <row r="9" spans="1:17" ht="12.75">
      <c r="A9" s="103"/>
      <c r="B9" s="103"/>
      <c r="C9" s="130" t="s">
        <v>100</v>
      </c>
      <c r="D9" s="60" t="s">
        <v>101</v>
      </c>
      <c r="E9" s="12"/>
      <c r="F9" s="61">
        <f>BS!F7/BS!F27</f>
        <v>0.4462514301447324</v>
      </c>
      <c r="G9" s="61">
        <f>BS!G7/BS!G27</f>
        <v>0.15985426120969706</v>
      </c>
      <c r="H9" s="59">
        <f>BS!H7/BS!H27</f>
        <v>3.5327930099445598E-2</v>
      </c>
      <c r="I9" s="169">
        <f>BS!I7/BS!I27</f>
        <v>2.967645556317822E-2</v>
      </c>
      <c r="J9" s="169">
        <f>BS!J7/BS!J27</f>
        <v>3.0214460439093378E-2</v>
      </c>
      <c r="K9" s="169">
        <f>BS!K7/BS!K27</f>
        <v>3.1172110426496681E-2</v>
      </c>
      <c r="L9" s="169">
        <f>BS!L7/BS!L27</f>
        <v>3.2504105009986135E-2</v>
      </c>
      <c r="M9" s="170">
        <f>BS!M7/BS!M27</f>
        <v>3.4190500193674429E-2</v>
      </c>
      <c r="N9" s="103"/>
      <c r="O9" s="103"/>
      <c r="P9" s="110"/>
      <c r="Q9" s="110"/>
    </row>
    <row r="10" spans="1:17" ht="12.75">
      <c r="A10" s="103"/>
      <c r="B10" s="103"/>
      <c r="C10" s="122" t="s">
        <v>102</v>
      </c>
      <c r="D10" s="140"/>
      <c r="E10" s="123"/>
      <c r="F10" s="160"/>
      <c r="G10" s="160"/>
      <c r="H10" s="62"/>
      <c r="I10" s="63"/>
      <c r="J10" s="63"/>
      <c r="K10" s="63"/>
      <c r="L10" s="63"/>
      <c r="M10" s="196"/>
      <c r="N10" s="103"/>
      <c r="O10" s="103"/>
      <c r="P10" s="110"/>
      <c r="Q10" s="110"/>
    </row>
    <row r="11" spans="1:17" ht="12.75">
      <c r="A11" s="103"/>
      <c r="B11" s="103"/>
      <c r="C11" s="126" t="s">
        <v>103</v>
      </c>
      <c r="D11" s="140" t="s">
        <v>104</v>
      </c>
      <c r="E11" s="123"/>
      <c r="F11" s="160">
        <f>(BS!F19-BS!F36)/BS!F19</f>
        <v>2.5859702199859584</v>
      </c>
      <c r="G11" s="160">
        <f>(BS!G19-BS!G36)/BS!G19</f>
        <v>3.3278345092604256</v>
      </c>
      <c r="H11" s="59">
        <f>(BS!H19-BS!H36)/BS!H19</f>
        <v>4.3649231275937028</v>
      </c>
      <c r="I11" s="169">
        <f>(BS!I19-BS!I36)/BS!I19</f>
        <v>3.6215842317078741</v>
      </c>
      <c r="J11" s="169">
        <f>(BS!J19-BS!J36)/BS!J19</f>
        <v>3.3063275074684388</v>
      </c>
      <c r="K11" s="169">
        <f>(BS!K19-BS!K36)/BS!K19</f>
        <v>3.0616457442295868</v>
      </c>
      <c r="L11" s="169">
        <f>(BS!L19-BS!L36)/BS!L19</f>
        <v>1</v>
      </c>
      <c r="M11" s="170">
        <f>(BS!M19-BS!M36)/BS!M19</f>
        <v>1</v>
      </c>
      <c r="N11" s="103"/>
      <c r="O11" s="103"/>
      <c r="P11" s="110"/>
      <c r="Q11" s="110"/>
    </row>
    <row r="12" spans="1:17" ht="12.75">
      <c r="A12" s="103"/>
      <c r="B12" s="103"/>
      <c r="C12" s="126" t="s">
        <v>105</v>
      </c>
      <c r="D12" s="140" t="s">
        <v>106</v>
      </c>
      <c r="E12" s="123"/>
      <c r="F12" s="160">
        <f>BS!F30/BS!F36</f>
        <v>-1.630513996490184</v>
      </c>
      <c r="G12" s="160">
        <f>BS!G30/BS!G36</f>
        <v>-1.4295955203561808</v>
      </c>
      <c r="H12" s="59">
        <f>BS!H30/BS!H36</f>
        <v>-1.2971883466752414</v>
      </c>
      <c r="I12" s="169">
        <f>BS!I30/BS!I36</f>
        <v>-1.3625425778968636</v>
      </c>
      <c r="J12" s="169">
        <f>BS!J30/BS!J36</f>
        <v>-1.2742805519069167</v>
      </c>
      <c r="K12" s="169">
        <f>BS!K30/BS!K36</f>
        <v>-1.1896318173386708</v>
      </c>
      <c r="L12" s="169" t="e">
        <f>BS!L30/BS!L36</f>
        <v>#DIV/0!</v>
      </c>
      <c r="M12" s="170" t="e">
        <f>BS!M30/BS!M36</f>
        <v>#DIV/0!</v>
      </c>
      <c r="N12" s="103"/>
      <c r="O12" s="103"/>
      <c r="P12" s="110"/>
      <c r="Q12" s="110"/>
    </row>
    <row r="13" spans="1:17" ht="12.75">
      <c r="A13" s="103"/>
      <c r="B13" s="103"/>
      <c r="C13" s="126" t="s">
        <v>107</v>
      </c>
      <c r="D13" s="140" t="s">
        <v>108</v>
      </c>
      <c r="E13" s="123"/>
      <c r="F13" s="160">
        <f>BS!F19/BS!F36</f>
        <v>-0.6305288632776811</v>
      </c>
      <c r="G13" s="160">
        <f>BS!G19/BS!G36</f>
        <v>-0.42958380246614236</v>
      </c>
      <c r="H13" s="59">
        <f>BS!H19/BS!H36</f>
        <v>-0.29718360927760989</v>
      </c>
      <c r="I13" s="169">
        <f>BS!I19/BS!I36</f>
        <v>-0.3814487392413608</v>
      </c>
      <c r="J13" s="169">
        <f>BS!J19/BS!J36</f>
        <v>-0.4335897641431069</v>
      </c>
      <c r="K13" s="169">
        <f>BS!K19/BS!K36</f>
        <v>-0.48504938484166615</v>
      </c>
      <c r="L13" s="169" t="e">
        <f>BS!L19/BS!L36</f>
        <v>#DIV/0!</v>
      </c>
      <c r="M13" s="170" t="e">
        <f>BS!M19/BS!M36</f>
        <v>#DIV/0!</v>
      </c>
      <c r="N13" s="103"/>
      <c r="O13" s="103"/>
      <c r="P13" s="110"/>
      <c r="Q13" s="110"/>
    </row>
    <row r="14" spans="1:17" ht="12.75">
      <c r="A14" s="103"/>
      <c r="B14" s="103"/>
      <c r="C14" s="126" t="s">
        <v>109</v>
      </c>
      <c r="D14" s="140" t="s">
        <v>110</v>
      </c>
      <c r="E14" s="123"/>
      <c r="F14" s="160">
        <f>IS!E34/IS!E16</f>
        <v>2834.5</v>
      </c>
      <c r="G14" s="160">
        <f>IS!F34/IS!F16</f>
        <v>221.29545454545453</v>
      </c>
      <c r="H14" s="59">
        <f>IS!G34/IS!G16</f>
        <v>17.176857733221091</v>
      </c>
      <c r="I14" s="169">
        <f>IS!H34/IS!H16</f>
        <v>-2.625311371556406</v>
      </c>
      <c r="J14" s="169">
        <f>IS!I34/IS!I16</f>
        <v>-44.983655208862103</v>
      </c>
      <c r="K14" s="169">
        <f>IS!J34/IS!J16</f>
        <v>-55.099650513752159</v>
      </c>
      <c r="L14" s="169">
        <f>IS!K34/IS!K16</f>
        <v>-67.184472149000186</v>
      </c>
      <c r="M14" s="170">
        <f>IS!L34/IS!L16</f>
        <v>-82.728137038218037</v>
      </c>
      <c r="N14" s="103"/>
      <c r="O14" s="103"/>
      <c r="P14" s="110"/>
      <c r="Q14" s="110"/>
    </row>
    <row r="15" spans="1:17" ht="12.75">
      <c r="A15" s="103"/>
      <c r="B15" s="103"/>
      <c r="C15" s="130" t="s">
        <v>111</v>
      </c>
      <c r="D15" s="60" t="s">
        <v>112</v>
      </c>
      <c r="E15" s="12"/>
      <c r="F15" s="61">
        <f>SUM(IS!E34+IS!E33)/IS!E16</f>
        <v>2642.3333333333335</v>
      </c>
      <c r="G15" s="61">
        <f>SUM(IS!F34+IS!F33)/IS!F16</f>
        <v>190.15909090909091</v>
      </c>
      <c r="H15" s="64">
        <f>SUM(IS!G34+IS!G33)/IS!G16</f>
        <v>15.105482003010128</v>
      </c>
      <c r="I15" s="65">
        <f>SUM(IS!H34+IS!H33)/IS!H16</f>
        <v>-4.3938273181233054</v>
      </c>
      <c r="J15" s="65">
        <f>SUM(IS!I34+IS!I33)/IS!I16</f>
        <v>-46.46994275404542</v>
      </c>
      <c r="K15" s="65">
        <f>SUM(IS!J34+IS!J33)/IS!J16</f>
        <v>-56.898840700026703</v>
      </c>
      <c r="L15" s="65">
        <f>SUM(IS!K34+IS!K33)/IS!K16</f>
        <v>-69.362439216595703</v>
      </c>
      <c r="M15" s="197">
        <f>SUM(IS!L34+IS!L33)/IS!L16</f>
        <v>-85.364623488465227</v>
      </c>
      <c r="N15" s="103"/>
      <c r="O15" s="103"/>
      <c r="P15" s="110"/>
      <c r="Q15" s="110"/>
    </row>
    <row r="16" spans="1:17" ht="12.75">
      <c r="A16" s="103"/>
      <c r="B16" s="103"/>
      <c r="C16" s="122" t="s">
        <v>113</v>
      </c>
      <c r="D16" s="140"/>
      <c r="E16" s="123"/>
      <c r="F16" s="160"/>
      <c r="G16" s="160"/>
      <c r="H16" s="59"/>
      <c r="I16" s="169"/>
      <c r="J16" s="169"/>
      <c r="K16" s="169"/>
      <c r="L16" s="169"/>
      <c r="M16" s="170"/>
      <c r="N16" s="103"/>
      <c r="O16" s="103"/>
      <c r="P16" s="110"/>
      <c r="Q16" s="110"/>
    </row>
    <row r="17" spans="1:17" ht="12.75">
      <c r="A17" s="103"/>
      <c r="B17" s="103"/>
      <c r="C17" s="126" t="s">
        <v>114</v>
      </c>
      <c r="D17" s="140" t="s">
        <v>115</v>
      </c>
      <c r="E17" s="123"/>
      <c r="F17" s="160">
        <f>-IS!E7/BS!F10</f>
        <v>7391.304347826087</v>
      </c>
      <c r="G17" s="160">
        <f>-IS!F7/BS!G10</f>
        <v>87.052601072308363</v>
      </c>
      <c r="H17" s="59">
        <f>-IS!G7/BS!H10</f>
        <v>90.381822127986382</v>
      </c>
      <c r="I17" s="169">
        <f>-IS!H7/BS!I10</f>
        <v>82.247458136467586</v>
      </c>
      <c r="J17" s="169">
        <f>-IS!I7/BS!J10</f>
        <v>82.247458136467586</v>
      </c>
      <c r="K17" s="169">
        <f>-IS!J7/BS!K10</f>
        <v>85.985978960852464</v>
      </c>
      <c r="L17" s="169">
        <f>-IS!K7/BS!L10</f>
        <v>93.802886139111763</v>
      </c>
      <c r="M17" s="170">
        <f>-IS!L7/BS!M10</f>
        <v>102.33042124266736</v>
      </c>
      <c r="N17" s="103"/>
      <c r="O17" s="103"/>
      <c r="P17" s="110"/>
      <c r="Q17" s="110"/>
    </row>
    <row r="18" spans="1:17" ht="12.75">
      <c r="A18" s="103"/>
      <c r="B18" s="103"/>
      <c r="C18" s="126" t="s">
        <v>116</v>
      </c>
      <c r="D18" s="140" t="s">
        <v>117</v>
      </c>
      <c r="E18" s="123"/>
      <c r="F18" s="160">
        <f t="shared" ref="F18:M18" si="0">365/F17</f>
        <v>4.9382352941176468E-2</v>
      </c>
      <c r="G18" s="160">
        <f t="shared" si="0"/>
        <v>4.1928672492717434</v>
      </c>
      <c r="H18" s="59">
        <f t="shared" si="0"/>
        <v>4.0384226762228463</v>
      </c>
      <c r="I18" s="169">
        <f t="shared" si="0"/>
        <v>4.4378271167284034</v>
      </c>
      <c r="J18" s="169">
        <f t="shared" si="0"/>
        <v>4.4378271167284034</v>
      </c>
      <c r="K18" s="169">
        <f t="shared" si="0"/>
        <v>4.2448781116532563</v>
      </c>
      <c r="L18" s="169">
        <f t="shared" si="0"/>
        <v>3.8911382690154852</v>
      </c>
      <c r="M18" s="170">
        <f t="shared" si="0"/>
        <v>3.5668767465975288</v>
      </c>
      <c r="N18" s="103"/>
      <c r="O18" s="103"/>
      <c r="P18" s="110"/>
      <c r="Q18" s="110"/>
    </row>
    <row r="19" spans="1:17" ht="12.75">
      <c r="A19" s="103"/>
      <c r="B19" s="103"/>
      <c r="C19" s="126" t="s">
        <v>118</v>
      </c>
      <c r="D19" s="140" t="s">
        <v>119</v>
      </c>
      <c r="E19" s="123"/>
      <c r="F19" s="160">
        <f>IS!E8/BS!F9</f>
        <v>16.940761150335799</v>
      </c>
      <c r="G19" s="160">
        <f>IS!F8/BS!G9</f>
        <v>4.9270178830352824</v>
      </c>
      <c r="H19" s="59">
        <f>IS!G8/BS!H9</f>
        <v>20.962623468984592</v>
      </c>
      <c r="I19" s="169">
        <f>IS!H8/BS!I9</f>
        <v>21.404399462187769</v>
      </c>
      <c r="J19" s="169">
        <f>IS!I8/BS!J9</f>
        <v>19.677323676660116</v>
      </c>
      <c r="K19" s="169">
        <f>IS!J8/BS!K9</f>
        <v>18.809859548516055</v>
      </c>
      <c r="L19" s="169">
        <f>IS!K8/BS!L9</f>
        <v>18.453826571276547</v>
      </c>
      <c r="M19" s="170">
        <f>IS!L8/BS!M9</f>
        <v>18.487554314621292</v>
      </c>
      <c r="N19" s="103"/>
      <c r="O19" s="103"/>
      <c r="P19" s="110"/>
      <c r="Q19" s="110"/>
    </row>
    <row r="20" spans="1:17" ht="12.75">
      <c r="A20" s="103"/>
      <c r="B20" s="103"/>
      <c r="C20" s="126" t="s">
        <v>120</v>
      </c>
      <c r="D20" s="140" t="s">
        <v>121</v>
      </c>
      <c r="E20" s="123"/>
      <c r="F20" s="160">
        <f t="shared" ref="F20:M20" si="1">365/F19</f>
        <v>21.545667090216014</v>
      </c>
      <c r="G20" s="160">
        <f t="shared" si="1"/>
        <v>74.081322346478331</v>
      </c>
      <c r="H20" s="59">
        <f t="shared" si="1"/>
        <v>17.411942762795817</v>
      </c>
      <c r="I20" s="169">
        <f t="shared" si="1"/>
        <v>17.052569059215873</v>
      </c>
      <c r="J20" s="169">
        <f t="shared" si="1"/>
        <v>18.54927052061139</v>
      </c>
      <c r="K20" s="169">
        <f t="shared" si="1"/>
        <v>19.404716928298146</v>
      </c>
      <c r="L20" s="169">
        <f t="shared" si="1"/>
        <v>19.779095603300181</v>
      </c>
      <c r="M20" s="170">
        <f t="shared" si="1"/>
        <v>19.743011638447584</v>
      </c>
      <c r="N20" s="103"/>
      <c r="O20" s="103"/>
      <c r="P20" s="110"/>
      <c r="Q20" s="110"/>
    </row>
    <row r="21" spans="1:17" ht="12.75">
      <c r="A21" s="103"/>
      <c r="B21" s="103"/>
      <c r="C21" s="126" t="s">
        <v>122</v>
      </c>
      <c r="D21" s="140" t="s">
        <v>123</v>
      </c>
      <c r="E21" s="123"/>
      <c r="F21" s="160">
        <f>-IS!E7/BS!F22</f>
        <v>0.99779897285399854</v>
      </c>
      <c r="G21" s="160">
        <f>-IS!F7/BS!G22</f>
        <v>1.2142496210207174</v>
      </c>
      <c r="H21" s="59">
        <f>-IS!G7/BS!H22</f>
        <v>1.3258878275777615</v>
      </c>
      <c r="I21" s="169">
        <f>-IS!H7/BS!I22</f>
        <v>0.92558874971535121</v>
      </c>
      <c r="J21" s="169">
        <f>-IS!I7/BS!J22</f>
        <v>0.82622181112555626</v>
      </c>
      <c r="K21" s="169">
        <f>-IS!J7/BS!K22</f>
        <v>0.79945407448298755</v>
      </c>
      <c r="L21" s="169">
        <f>-IS!K7/BS!L22</f>
        <v>0.82801596880956851</v>
      </c>
      <c r="M21" s="170">
        <f>-IS!L7/BS!M22</f>
        <v>0.87397667103298371</v>
      </c>
      <c r="N21" s="103"/>
      <c r="O21" s="103"/>
      <c r="P21" s="110"/>
      <c r="Q21" s="110"/>
    </row>
    <row r="22" spans="1:17" ht="12.75">
      <c r="A22" s="103"/>
      <c r="B22" s="103"/>
      <c r="C22" s="126" t="s">
        <v>124</v>
      </c>
      <c r="D22" s="140" t="s">
        <v>125</v>
      </c>
      <c r="E22" s="123"/>
      <c r="F22" s="160">
        <f t="shared" ref="F22:M22" si="2">365/F21</f>
        <v>365.80514705882354</v>
      </c>
      <c r="G22" s="160">
        <f t="shared" si="2"/>
        <v>300.59717020391179</v>
      </c>
      <c r="H22" s="59">
        <f t="shared" si="2"/>
        <v>275.28723954485002</v>
      </c>
      <c r="I22" s="169">
        <f t="shared" si="2"/>
        <v>394.34360034329438</v>
      </c>
      <c r="J22" s="169">
        <f t="shared" si="2"/>
        <v>441.76998850074295</v>
      </c>
      <c r="K22" s="169">
        <f t="shared" si="2"/>
        <v>456.56156075763079</v>
      </c>
      <c r="L22" s="169">
        <f t="shared" si="2"/>
        <v>440.81275452302856</v>
      </c>
      <c r="M22" s="170">
        <f t="shared" si="2"/>
        <v>417.63128479000898</v>
      </c>
      <c r="N22" s="103"/>
      <c r="O22" s="103"/>
      <c r="P22" s="110"/>
      <c r="Q22" s="110"/>
    </row>
    <row r="23" spans="1:17" ht="12.75">
      <c r="A23" s="103"/>
      <c r="B23" s="103"/>
      <c r="C23" s="126" t="s">
        <v>126</v>
      </c>
      <c r="D23" s="140" t="s">
        <v>127</v>
      </c>
      <c r="E23" s="123"/>
      <c r="F23" s="160">
        <f>IS!E6/BS!F19</f>
        <v>0.77024338871986897</v>
      </c>
      <c r="G23" s="160">
        <f>IS!F6/BS!G19</f>
        <v>0.94494141363235473</v>
      </c>
      <c r="H23" s="59">
        <f>IS!G6/BS!H19</f>
        <v>3.8515249324813912</v>
      </c>
      <c r="I23" s="169">
        <f>IS!H6/BS!I19</f>
        <v>4.2339139593608879</v>
      </c>
      <c r="J23" s="169">
        <f>IS!I6/BS!J19</f>
        <v>4.2168523855285525</v>
      </c>
      <c r="K23" s="169">
        <f>IS!J6/BS!K19</f>
        <v>4.2599373560258265</v>
      </c>
      <c r="L23" s="169">
        <f>IS!K6/BS!L19</f>
        <v>4.3502018255289974</v>
      </c>
      <c r="M23" s="170">
        <f>IS!L6/BS!M19</f>
        <v>4.4797371512471376</v>
      </c>
      <c r="N23" s="103"/>
      <c r="O23" s="103"/>
      <c r="P23" s="110"/>
      <c r="Q23" s="110"/>
    </row>
    <row r="24" spans="1:17" ht="12.75">
      <c r="A24" s="103"/>
      <c r="B24" s="103"/>
      <c r="C24" s="130" t="s">
        <v>128</v>
      </c>
      <c r="D24" s="60" t="s">
        <v>129</v>
      </c>
      <c r="E24" s="12"/>
      <c r="F24" s="61">
        <f t="shared" ref="F24:M24" si="3">1/F23</f>
        <v>1.2982909229016331</v>
      </c>
      <c r="G24" s="61">
        <f t="shared" si="3"/>
        <v>1.0582666666666667</v>
      </c>
      <c r="H24" s="59">
        <f t="shared" si="3"/>
        <v>0.25963742089960662</v>
      </c>
      <c r="I24" s="169">
        <f t="shared" si="3"/>
        <v>0.23618807788690885</v>
      </c>
      <c r="J24" s="169">
        <f t="shared" si="3"/>
        <v>0.2371437054405349</v>
      </c>
      <c r="K24" s="169">
        <f t="shared" si="3"/>
        <v>0.23474523600340413</v>
      </c>
      <c r="L24" s="169">
        <f t="shared" si="3"/>
        <v>0.22987439206418819</v>
      </c>
      <c r="M24" s="170">
        <f t="shared" si="3"/>
        <v>0.22322738282124538</v>
      </c>
      <c r="N24" s="103"/>
      <c r="O24" s="103"/>
      <c r="P24" s="110"/>
      <c r="Q24" s="110"/>
    </row>
    <row r="25" spans="1:17" ht="12.75">
      <c r="A25" s="103"/>
      <c r="B25" s="103"/>
      <c r="C25" s="122" t="s">
        <v>130</v>
      </c>
      <c r="D25" s="140"/>
      <c r="E25" s="123"/>
      <c r="F25" s="123"/>
      <c r="G25" s="123"/>
      <c r="H25" s="3"/>
      <c r="I25" s="66"/>
      <c r="J25" s="66"/>
      <c r="K25" s="66"/>
      <c r="L25" s="66"/>
      <c r="M25" s="198"/>
      <c r="N25" s="103"/>
      <c r="O25" s="103"/>
      <c r="P25" s="110"/>
      <c r="Q25" s="110"/>
    </row>
    <row r="26" spans="1:17" ht="12.75">
      <c r="A26" s="103"/>
      <c r="B26" s="103"/>
      <c r="C26" s="126" t="s">
        <v>131</v>
      </c>
      <c r="D26" s="140" t="s">
        <v>132</v>
      </c>
      <c r="E26" s="123"/>
      <c r="F26" s="171">
        <f>IS!E19/IS!E6</f>
        <v>0.14265096847702241</v>
      </c>
      <c r="G26" s="171">
        <f>IS!F19/IS!F6</f>
        <v>-0.35373333333333334</v>
      </c>
      <c r="H26" s="40">
        <f>IS!G19/IS!G6</f>
        <v>-0.24287668890029074</v>
      </c>
      <c r="I26" s="199">
        <f>IS!H19/IS!H6</f>
        <v>-1.9531480336280958E-2</v>
      </c>
      <c r="J26" s="199">
        <f>IS!I19/IS!I6</f>
        <v>0.62593757971912622</v>
      </c>
      <c r="K26" s="199">
        <f>IS!J19/IS!J6</f>
        <v>0.64290614745450236</v>
      </c>
      <c r="L26" s="199">
        <f>IS!K19/IS!K6</f>
        <v>0.68427932193462215</v>
      </c>
      <c r="M26" s="200">
        <f>IS!L19/IS!L6</f>
        <v>0.68724082566973632</v>
      </c>
      <c r="N26" s="103"/>
      <c r="O26" s="103"/>
      <c r="P26" s="110"/>
      <c r="Q26" s="110"/>
    </row>
    <row r="27" spans="1:17" ht="12.75">
      <c r="A27" s="103"/>
      <c r="B27" s="103"/>
      <c r="C27" s="126" t="s">
        <v>133</v>
      </c>
      <c r="D27" s="140" t="s">
        <v>134</v>
      </c>
      <c r="E27" s="123"/>
      <c r="F27" s="171">
        <f>IS!E19/BS!F19</f>
        <v>0.10987596536391295</v>
      </c>
      <c r="G27" s="171">
        <f>IS!F19/BS!G19</f>
        <v>-0.33425727604888494</v>
      </c>
      <c r="H27" s="40">
        <f>IS!G19/BS!H19</f>
        <v>-0.93544562281799615</v>
      </c>
      <c r="I27" s="199">
        <f>IS!H19/BS!I19</f>
        <v>-8.2694607242762633E-2</v>
      </c>
      <c r="J27" s="199">
        <f>IS!I19/BS!J19</f>
        <v>2.6394863762305656</v>
      </c>
      <c r="K27" s="199">
        <f>IS!J19/BS!K19</f>
        <v>2.7387399139600834</v>
      </c>
      <c r="L27" s="199">
        <f>IS!K19/BS!L19</f>
        <v>2.9767531554517377</v>
      </c>
      <c r="M27" s="200">
        <f>IS!L19/BS!M19</f>
        <v>3.0786582586064752</v>
      </c>
      <c r="N27" s="103"/>
      <c r="O27" s="103"/>
      <c r="P27" s="110"/>
      <c r="Q27" s="110"/>
    </row>
    <row r="28" spans="1:17" ht="12.75">
      <c r="A28" s="103"/>
      <c r="B28" s="103"/>
      <c r="C28" s="130" t="s">
        <v>135</v>
      </c>
      <c r="D28" s="60" t="s">
        <v>136</v>
      </c>
      <c r="E28" s="12"/>
      <c r="F28" s="67">
        <f>IS!E19/BS!F36</f>
        <v>-6.9279967542445878E-2</v>
      </c>
      <c r="G28" s="67">
        <f>IS!F19/BS!G36</f>
        <v>0.143591511647055</v>
      </c>
      <c r="H28" s="68">
        <f>IS!G19/BS!H36</f>
        <v>0.27799910647199383</v>
      </c>
      <c r="I28" s="69">
        <f>IS!H19/BS!I36</f>
        <v>3.1543753674811312E-2</v>
      </c>
      <c r="J28" s="69">
        <f>IS!I19/BS!J36</f>
        <v>-1.1444542753287548</v>
      </c>
      <c r="K28" s="69">
        <f>IS!J19/BS!K36</f>
        <v>-1.328424110507656</v>
      </c>
      <c r="L28" s="69" t="e">
        <f>IS!K19/BS!L36</f>
        <v>#DIV/0!</v>
      </c>
      <c r="M28" s="201" t="e">
        <f>IS!L19/BS!M36</f>
        <v>#DIV/0!</v>
      </c>
      <c r="N28" s="103"/>
      <c r="O28" s="103"/>
      <c r="P28" s="110"/>
      <c r="Q28" s="110"/>
    </row>
    <row r="29" spans="1:17" ht="12.75">
      <c r="A29" s="103"/>
      <c r="B29" s="103"/>
      <c r="C29" s="122" t="s">
        <v>137</v>
      </c>
      <c r="D29" s="140"/>
      <c r="E29" s="123"/>
      <c r="F29" s="123"/>
      <c r="G29" s="123"/>
      <c r="H29" s="34"/>
      <c r="I29" s="164"/>
      <c r="J29" s="164"/>
      <c r="K29" s="164"/>
      <c r="L29" s="164"/>
      <c r="M29" s="165"/>
      <c r="N29" s="103"/>
      <c r="O29" s="103"/>
      <c r="P29" s="110"/>
      <c r="Q29" s="110"/>
    </row>
    <row r="30" spans="1:17" ht="12.75">
      <c r="A30" s="103"/>
      <c r="B30" s="103"/>
      <c r="C30" s="126" t="s">
        <v>138</v>
      </c>
      <c r="D30" s="140" t="s">
        <v>139</v>
      </c>
      <c r="E30" s="123"/>
      <c r="F30" s="160">
        <f>IS!E29/IS!E22</f>
        <v>7.5985090521831733</v>
      </c>
      <c r="G30" s="160">
        <f>IS!F29/IS!F22</f>
        <v>-2.1492649830380701</v>
      </c>
      <c r="H30" s="59">
        <f>IS!G29/IS!G22</f>
        <v>-0.911837194563763</v>
      </c>
      <c r="I30" s="169">
        <f>IS!H29/IS!H22</f>
        <v>-201.03654720347649</v>
      </c>
      <c r="J30" s="169">
        <f>IS!I29/IS!I22</f>
        <v>5.190887693509147</v>
      </c>
      <c r="K30" s="169">
        <f>IS!J29/IS!J22</f>
        <v>4.1712215320797297</v>
      </c>
      <c r="L30" s="169">
        <f>IS!K29/IS!K22</f>
        <v>3.2252799742940756</v>
      </c>
      <c r="M30" s="170">
        <f>IS!L29/IS!L22</f>
        <v>2.6344391993183387</v>
      </c>
      <c r="N30" s="103"/>
      <c r="O30" s="103"/>
      <c r="P30" s="110"/>
      <c r="Q30" s="110"/>
    </row>
    <row r="31" spans="1:17" ht="12.75">
      <c r="A31" s="103"/>
      <c r="B31" s="103"/>
      <c r="C31" s="126" t="s">
        <v>214</v>
      </c>
      <c r="D31" s="140" t="s">
        <v>140</v>
      </c>
      <c r="E31" s="123"/>
      <c r="F31" s="160">
        <f>IS!E6/IS!E26</f>
        <v>4.6128241065171691</v>
      </c>
      <c r="G31" s="160">
        <f>IS!F6/IS!F26</f>
        <v>5.2613118204138898</v>
      </c>
      <c r="H31" s="59">
        <f>IS!G6/IS!G26</f>
        <v>20.770870337477799</v>
      </c>
      <c r="I31" s="169">
        <f>IS!H6/IS!H26</f>
        <v>1.052665168998264</v>
      </c>
      <c r="J31" s="169">
        <f>IS!I6/IS!I26</f>
        <v>1.2105649443480038</v>
      </c>
      <c r="K31" s="169">
        <f>IS!J6/IS!J26</f>
        <v>1.3921496860002038</v>
      </c>
      <c r="L31" s="169">
        <f>IS!K6/IS!K26</f>
        <v>1.6009721389002343</v>
      </c>
      <c r="M31" s="170">
        <f>IS!L6/IS!L26</f>
        <v>1.8411179597352694</v>
      </c>
      <c r="N31" s="103"/>
      <c r="O31" s="103"/>
      <c r="P31" s="110"/>
      <c r="Q31" s="110"/>
    </row>
    <row r="32" spans="1:17" ht="12.75">
      <c r="A32" s="103"/>
      <c r="B32" s="103"/>
      <c r="C32" s="126" t="s">
        <v>141</v>
      </c>
      <c r="D32" s="140" t="s">
        <v>142</v>
      </c>
      <c r="E32" s="123"/>
      <c r="F32" s="160">
        <f>IS!E29/F31</f>
        <v>1.0839346752753511</v>
      </c>
      <c r="G32" s="160">
        <f>IS!F29/G31</f>
        <v>0.76026666666666665</v>
      </c>
      <c r="H32" s="59">
        <f>IS!G29/H31</f>
        <v>0.22146399863177696</v>
      </c>
      <c r="I32" s="169">
        <f>IS!H29/I31</f>
        <v>3.92654136857852</v>
      </c>
      <c r="J32" s="169">
        <f>IS!I29/J31</f>
        <v>3.2491716794689123</v>
      </c>
      <c r="K32" s="169">
        <f>IS!J29/K31</f>
        <v>2.6817039653686461</v>
      </c>
      <c r="L32" s="169">
        <f>IS!K29/L31</f>
        <v>2.2069923938592657</v>
      </c>
      <c r="M32" s="170">
        <f>IS!L29/M31</f>
        <v>1.8104941705162543</v>
      </c>
      <c r="N32" s="103"/>
      <c r="O32" s="103"/>
      <c r="P32" s="110"/>
      <c r="Q32" s="110"/>
    </row>
    <row r="33" spans="1:19" ht="12.75">
      <c r="A33" s="103"/>
      <c r="B33" s="103"/>
      <c r="C33" s="126" t="s">
        <v>143</v>
      </c>
      <c r="D33" s="140" t="s">
        <v>144</v>
      </c>
      <c r="E33" s="123"/>
      <c r="F33" s="160">
        <f>BS!F36/IS!E26</f>
        <v>-9.4980388927820592</v>
      </c>
      <c r="G33" s="160">
        <f>BS!G36/IS!F26</f>
        <v>-12.961082076464399</v>
      </c>
      <c r="H33" s="59">
        <f>BS!H36/IS!G26</f>
        <v>-18.146677797513323</v>
      </c>
      <c r="I33" s="169">
        <f>BS!I36/IS!H26</f>
        <v>-0.65179652557949586</v>
      </c>
      <c r="J33" s="169">
        <f>BS!J36/IS!I26</f>
        <v>-0.66209555741345893</v>
      </c>
      <c r="K33" s="169">
        <f>BS!K36/IS!J26</f>
        <v>-0.67374687362784658</v>
      </c>
      <c r="L33" s="169">
        <f>BS!L36/IS!K26</f>
        <v>0</v>
      </c>
      <c r="M33" s="170">
        <f>BS!M36/IS!L26</f>
        <v>0</v>
      </c>
      <c r="N33" s="103"/>
      <c r="O33" s="103"/>
      <c r="P33" s="110"/>
      <c r="Q33" s="110"/>
    </row>
    <row r="34" spans="1:19" ht="12.75">
      <c r="A34" s="103"/>
      <c r="B34" s="103"/>
      <c r="C34" s="126" t="s">
        <v>145</v>
      </c>
      <c r="D34" s="140" t="s">
        <v>146</v>
      </c>
      <c r="E34" s="123"/>
      <c r="F34" s="160">
        <f>IS!E29/F33</f>
        <v>-0.52642446050623148</v>
      </c>
      <c r="G34" s="160">
        <f>IS!F29/G33</f>
        <v>-0.30861620784451849</v>
      </c>
      <c r="H34" s="59">
        <f>IS!G29/H33</f>
        <v>-0.25348992533665565</v>
      </c>
      <c r="I34" s="169">
        <f>IS!H29/I33</f>
        <v>-6.341447324621039</v>
      </c>
      <c r="J34" s="169">
        <f>IS!I29/J33</f>
        <v>-5.9407336135879625</v>
      </c>
      <c r="K34" s="169">
        <f>IS!J29/K33</f>
        <v>-5.5411512534833971</v>
      </c>
      <c r="L34" s="169" t="e">
        <f>IS!K29/L33</f>
        <v>#DIV/0!</v>
      </c>
      <c r="M34" s="170" t="e">
        <f>IS!L29/M33</f>
        <v>#DIV/0!</v>
      </c>
      <c r="N34" s="103"/>
      <c r="O34" s="103"/>
      <c r="P34" s="110"/>
      <c r="Q34" s="110"/>
    </row>
    <row r="35" spans="1:19" ht="12.75">
      <c r="A35" s="103"/>
      <c r="B35" s="103"/>
      <c r="C35" s="126" t="s">
        <v>147</v>
      </c>
      <c r="D35" s="140" t="s">
        <v>148</v>
      </c>
      <c r="E35" s="123"/>
      <c r="F35" s="176">
        <f>IS!E29*IS!E26</f>
        <v>14270</v>
      </c>
      <c r="G35" s="176">
        <f>IS!F29*IS!F26</f>
        <v>11404</v>
      </c>
      <c r="H35" s="24">
        <f>IS!G29*IS!G26</f>
        <v>12948.999999999998</v>
      </c>
      <c r="I35" s="128">
        <f>IS!H29*IS!H26</f>
        <v>323821.86666667054</v>
      </c>
      <c r="J35" s="128">
        <f>IS!I29*IS!I26</f>
        <v>308153.06666667142</v>
      </c>
      <c r="K35" s="128">
        <f>IS!J29*IS!J26</f>
        <v>292484.26666667673</v>
      </c>
      <c r="L35" s="128">
        <f>IS!K29*IS!K26</f>
        <v>276815.46666667319</v>
      </c>
      <c r="M35" s="129">
        <f>IS!L29*IS!L26</f>
        <v>261146.66666667853</v>
      </c>
      <c r="N35" s="103"/>
      <c r="O35" s="103"/>
      <c r="P35" s="110"/>
      <c r="Q35" s="110"/>
    </row>
    <row r="36" spans="1:19" ht="12.75">
      <c r="A36" s="103"/>
      <c r="B36" s="103"/>
      <c r="C36" s="126" t="s">
        <v>149</v>
      </c>
      <c r="D36" s="140" t="s">
        <v>150</v>
      </c>
      <c r="E36" s="123"/>
      <c r="F36" s="176">
        <f>F35+BS!F30-BS!F7</f>
        <v>53840</v>
      </c>
      <c r="G36" s="176">
        <f>G35+BS!G30-BS!G7</f>
        <v>63316.842000000004</v>
      </c>
      <c r="H36" s="24">
        <f>H35+BS!H30-BS!H7</f>
        <v>78623.8</v>
      </c>
      <c r="I36" s="128">
        <f>I35+BS!I30-BS!I7</f>
        <v>392721.47266667057</v>
      </c>
      <c r="J36" s="128">
        <f>J35+BS!J30-BS!J7</f>
        <v>373472.14416667144</v>
      </c>
      <c r="K36" s="128">
        <f>K35+BS!K30-BS!K7</f>
        <v>354381.50986167672</v>
      </c>
      <c r="L36" s="128">
        <f>L35+BS!L30-BS!L7</f>
        <v>335438.5852074232</v>
      </c>
      <c r="M36" s="129">
        <f>M35+BS!M30-BS!M7</f>
        <v>316632.47741171607</v>
      </c>
      <c r="N36" s="103"/>
      <c r="O36" s="103"/>
      <c r="P36" s="110"/>
      <c r="Q36" s="110"/>
    </row>
    <row r="37" spans="1:19" ht="12.75">
      <c r="A37" s="103"/>
      <c r="B37" s="103"/>
      <c r="C37" s="130" t="s">
        <v>151</v>
      </c>
      <c r="D37" s="60" t="s">
        <v>152</v>
      </c>
      <c r="E37" s="12"/>
      <c r="F37" s="61">
        <f>F36/IS!E35</f>
        <v>-3.3959883940961273</v>
      </c>
      <c r="G37" s="61">
        <f>G36/IS!F35</f>
        <v>-7.5674485478666194</v>
      </c>
      <c r="H37" s="59">
        <f>H36/IS!G35</f>
        <v>-6.6388415097525968</v>
      </c>
      <c r="I37" s="169">
        <f>I36/IS!H35</f>
        <v>-95.174722281176969</v>
      </c>
      <c r="J37" s="169">
        <f>J36/IS!I35</f>
        <v>6.684283557552269</v>
      </c>
      <c r="K37" s="169">
        <f>K36/IS!J35</f>
        <v>5.2838284382637521</v>
      </c>
      <c r="L37" s="169">
        <f>L36/IS!K35</f>
        <v>3.8611343466500556</v>
      </c>
      <c r="M37" s="170">
        <f>M36/IS!L35</f>
        <v>3.1974239202273242</v>
      </c>
      <c r="N37" s="103"/>
      <c r="O37" s="103"/>
      <c r="P37" s="110"/>
      <c r="Q37" s="110"/>
    </row>
    <row r="38" spans="1:19" ht="12.75">
      <c r="A38" s="103"/>
      <c r="B38" s="103"/>
      <c r="C38" s="122" t="s">
        <v>153</v>
      </c>
      <c r="D38" s="140"/>
      <c r="E38" s="123"/>
      <c r="F38" s="123"/>
      <c r="G38" s="123"/>
      <c r="H38" s="3"/>
      <c r="I38" s="66"/>
      <c r="J38" s="66"/>
      <c r="K38" s="66"/>
      <c r="L38" s="66"/>
      <c r="M38" s="198"/>
      <c r="N38" s="103"/>
      <c r="O38" s="103"/>
      <c r="P38" s="110"/>
      <c r="Q38" s="110"/>
    </row>
    <row r="39" spans="1:19" ht="12.75">
      <c r="A39" s="103"/>
      <c r="B39" s="103"/>
      <c r="C39" s="126" t="s">
        <v>154</v>
      </c>
      <c r="D39" s="140" t="s">
        <v>136</v>
      </c>
      <c r="E39" s="123"/>
      <c r="F39" s="171">
        <f>IS!E19/BS!F36</f>
        <v>-6.9279967542445878E-2</v>
      </c>
      <c r="G39" s="171">
        <f>IS!F19/BS!G36</f>
        <v>0.143591511647055</v>
      </c>
      <c r="H39" s="40">
        <f>IS!G19/BS!H36</f>
        <v>0.27799910647199383</v>
      </c>
      <c r="I39" s="199">
        <f>IS!H19/BS!I36</f>
        <v>3.1543753674811312E-2</v>
      </c>
      <c r="J39" s="199">
        <f>IS!I19/BS!J36</f>
        <v>-1.1444542753287548</v>
      </c>
      <c r="K39" s="199">
        <f>IS!J19/BS!K36</f>
        <v>-1.328424110507656</v>
      </c>
      <c r="L39" s="199" t="e">
        <f>IS!K19/BS!L36</f>
        <v>#DIV/0!</v>
      </c>
      <c r="M39" s="200" t="e">
        <f>IS!L19/BS!M36</f>
        <v>#DIV/0!</v>
      </c>
      <c r="N39" s="103"/>
      <c r="O39" s="103"/>
      <c r="P39" s="110"/>
      <c r="Q39" s="110"/>
    </row>
    <row r="40" spans="1:19" ht="12.75">
      <c r="A40" s="103"/>
      <c r="B40" s="103"/>
      <c r="C40" s="130" t="s">
        <v>155</v>
      </c>
      <c r="D40" s="60" t="s">
        <v>156</v>
      </c>
      <c r="E40" s="12"/>
      <c r="F40" s="67">
        <f t="shared" ref="F40:M40" si="4">F26*F23*F13</f>
        <v>-6.9279967542445892E-2</v>
      </c>
      <c r="G40" s="67">
        <f t="shared" si="4"/>
        <v>0.143591511647055</v>
      </c>
      <c r="H40" s="68">
        <f t="shared" si="4"/>
        <v>0.27799910647199383</v>
      </c>
      <c r="I40" s="199">
        <f t="shared" si="4"/>
        <v>3.1543753674811312E-2</v>
      </c>
      <c r="J40" s="199">
        <f t="shared" si="4"/>
        <v>-1.144454275328755</v>
      </c>
      <c r="K40" s="199">
        <f t="shared" si="4"/>
        <v>-1.328424110507656</v>
      </c>
      <c r="L40" s="199" t="e">
        <f t="shared" si="4"/>
        <v>#DIV/0!</v>
      </c>
      <c r="M40" s="200" t="e">
        <f t="shared" si="4"/>
        <v>#DIV/0!</v>
      </c>
      <c r="N40" s="103"/>
      <c r="O40" s="103"/>
      <c r="P40" s="110"/>
      <c r="Q40" s="110"/>
    </row>
    <row r="41" spans="1:19" ht="12.75">
      <c r="A41" s="103"/>
      <c r="B41" s="103"/>
      <c r="C41" s="122" t="s">
        <v>157</v>
      </c>
      <c r="D41" s="140"/>
      <c r="E41" s="123"/>
      <c r="F41" s="123"/>
      <c r="G41" s="123"/>
      <c r="H41" s="34"/>
      <c r="I41" s="66"/>
      <c r="J41" s="66"/>
      <c r="K41" s="66"/>
      <c r="L41" s="66"/>
      <c r="M41" s="198"/>
      <c r="N41" s="103"/>
      <c r="O41" s="103"/>
      <c r="P41" s="110"/>
      <c r="Q41" s="110"/>
    </row>
    <row r="42" spans="1:19" ht="12.75">
      <c r="A42" s="103"/>
      <c r="B42" s="103"/>
      <c r="C42" s="126" t="s">
        <v>158</v>
      </c>
      <c r="D42" s="140" t="s">
        <v>159</v>
      </c>
      <c r="E42" s="123"/>
      <c r="F42" s="123">
        <f>SUM(IS!E19-'CF(WIP)'!E40)/IS!E19</f>
        <v>1</v>
      </c>
      <c r="G42" s="123">
        <f>SUM(IS!F19-'CF(WIP)'!F40)/IS!F19</f>
        <v>1</v>
      </c>
      <c r="H42" s="34">
        <f>SUM(IS!G19-'CF(WIP)'!G40)/IS!G19</f>
        <v>1</v>
      </c>
      <c r="I42" s="164">
        <f>SUM(IS!H19-'CF(WIP)'!H40)/IS!H19</f>
        <v>1</v>
      </c>
      <c r="J42" s="164">
        <f>SUM(IS!I19-'CF(WIP)'!I40)/IS!I19</f>
        <v>1</v>
      </c>
      <c r="K42" s="164">
        <f>SUM(IS!J19-'CF(WIP)'!J40)/IS!J19</f>
        <v>1</v>
      </c>
      <c r="L42" s="164">
        <f>SUM(IS!K19-'CF(WIP)'!K40)/IS!K19</f>
        <v>1</v>
      </c>
      <c r="M42" s="165">
        <f>SUM(IS!L19-'CF(WIP)'!L40)/IS!L19</f>
        <v>1</v>
      </c>
      <c r="N42" s="103"/>
      <c r="O42" s="103"/>
      <c r="P42" s="110"/>
      <c r="Q42" s="110"/>
    </row>
    <row r="43" spans="1:19" ht="12.75">
      <c r="A43" s="103"/>
      <c r="B43" s="103"/>
      <c r="C43" s="126" t="s">
        <v>160</v>
      </c>
      <c r="D43" s="140" t="s">
        <v>161</v>
      </c>
      <c r="E43" s="123"/>
      <c r="F43" s="123">
        <f t="shared" ref="F43:M43" si="5">1-F42</f>
        <v>0</v>
      </c>
      <c r="G43" s="123">
        <f t="shared" si="5"/>
        <v>0</v>
      </c>
      <c r="H43" s="34">
        <f t="shared" si="5"/>
        <v>0</v>
      </c>
      <c r="I43" s="164">
        <f t="shared" si="5"/>
        <v>0</v>
      </c>
      <c r="J43" s="164">
        <f t="shared" si="5"/>
        <v>0</v>
      </c>
      <c r="K43" s="164">
        <f t="shared" si="5"/>
        <v>0</v>
      </c>
      <c r="L43" s="164">
        <f t="shared" si="5"/>
        <v>0</v>
      </c>
      <c r="M43" s="165">
        <f t="shared" si="5"/>
        <v>0</v>
      </c>
      <c r="N43" s="103"/>
      <c r="O43" s="103"/>
      <c r="P43" s="110"/>
      <c r="Q43" s="110"/>
    </row>
    <row r="44" spans="1:19" ht="12.75">
      <c r="A44" s="103"/>
      <c r="B44" s="103"/>
      <c r="C44" s="126" t="s">
        <v>162</v>
      </c>
      <c r="D44" s="140" t="s">
        <v>163</v>
      </c>
      <c r="E44" s="123"/>
      <c r="F44" s="171">
        <f t="shared" ref="F44:M44" si="6">SUM(SUM(F27*F42)/SUM(1-SUM(F27*F42)))</f>
        <v>0.12343893782042856</v>
      </c>
      <c r="G44" s="171">
        <f t="shared" si="6"/>
        <v>-0.25051935788479696</v>
      </c>
      <c r="H44" s="40">
        <f t="shared" si="6"/>
        <v>-0.48332312300047647</v>
      </c>
      <c r="I44" s="199">
        <f t="shared" si="6"/>
        <v>-7.6378515871023261E-2</v>
      </c>
      <c r="J44" s="199">
        <f t="shared" si="6"/>
        <v>-1.6099471239884016</v>
      </c>
      <c r="K44" s="199">
        <f t="shared" si="6"/>
        <v>-1.5751291449463771</v>
      </c>
      <c r="L44" s="199">
        <f t="shared" si="6"/>
        <v>-1.5058800575287181</v>
      </c>
      <c r="M44" s="200">
        <f t="shared" si="6"/>
        <v>-1.4810795597879549</v>
      </c>
      <c r="N44" s="103"/>
      <c r="O44" s="103"/>
      <c r="P44" s="110"/>
      <c r="Q44" s="110"/>
    </row>
    <row r="45" spans="1:19" ht="13.5" thickBot="1">
      <c r="A45" s="103"/>
      <c r="B45" s="103"/>
      <c r="C45" s="177" t="s">
        <v>164</v>
      </c>
      <c r="D45" s="202" t="s">
        <v>165</v>
      </c>
      <c r="E45" s="178"/>
      <c r="F45" s="179">
        <f t="shared" ref="F45:M45" si="7">SUM(SUM(F28*F42)/SUM(1-SUM(F28*F42)))</f>
        <v>-6.4791233021669573E-2</v>
      </c>
      <c r="G45" s="179">
        <f t="shared" si="7"/>
        <v>0.16766708130510463</v>
      </c>
      <c r="H45" s="203">
        <f t="shared" si="7"/>
        <v>0.38503983715805512</v>
      </c>
      <c r="I45" s="204">
        <f t="shared" si="7"/>
        <v>3.2571170658978368E-2</v>
      </c>
      <c r="J45" s="204">
        <f t="shared" si="7"/>
        <v>-0.53368089424676801</v>
      </c>
      <c r="K45" s="204">
        <f t="shared" si="7"/>
        <v>-0.57052497631886556</v>
      </c>
      <c r="L45" s="204" t="e">
        <f t="shared" si="7"/>
        <v>#DIV/0!</v>
      </c>
      <c r="M45" s="205" t="e">
        <f t="shared" si="7"/>
        <v>#DIV/0!</v>
      </c>
      <c r="N45" s="103"/>
      <c r="O45" s="103"/>
      <c r="P45" s="110"/>
      <c r="Q45" s="110"/>
    </row>
    <row r="46" spans="1:19" ht="12.75">
      <c r="A46" s="103"/>
      <c r="B46" s="103"/>
      <c r="C46" s="103"/>
      <c r="D46" s="103"/>
      <c r="E46" s="103"/>
      <c r="F46" s="103"/>
      <c r="G46" s="103"/>
      <c r="H46" s="103"/>
      <c r="I46" s="195"/>
      <c r="J46" s="195"/>
      <c r="K46" s="195"/>
      <c r="L46" s="195"/>
      <c r="M46" s="195"/>
      <c r="N46" s="103"/>
      <c r="O46" s="103"/>
      <c r="P46" s="110"/>
      <c r="Q46" s="110"/>
      <c r="R46" s="110"/>
      <c r="S46" s="110"/>
    </row>
    <row r="47" spans="1:19" ht="15.75" customHeight="1">
      <c r="A47" s="110"/>
      <c r="B47" s="110"/>
    </row>
    <row r="48" spans="1:19" ht="15.75" customHeight="1">
      <c r="A48" s="110"/>
      <c r="B48" s="110"/>
    </row>
    <row r="49" spans="1:2" ht="15.75" customHeight="1">
      <c r="A49" s="110"/>
      <c r="B49" s="110"/>
    </row>
    <row r="50" spans="1:2" ht="15.75" customHeight="1">
      <c r="A50" s="110"/>
      <c r="B50" s="110"/>
    </row>
    <row r="51" spans="1:2" ht="15.75" customHeight="1">
      <c r="A51" s="110"/>
      <c r="B51" s="110"/>
    </row>
  </sheetData>
  <mergeCells count="1">
    <mergeCell ref="I4: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outlinePr summaryBelow="0" summaryRight="0"/>
  </sheetPr>
  <dimension ref="A1:GS95"/>
  <sheetViews>
    <sheetView showGridLines="0" topLeftCell="A25" zoomScale="85" zoomScaleNormal="85" workbookViewId="0">
      <selection activeCell="D34" sqref="D34"/>
    </sheetView>
  </sheetViews>
  <sheetFormatPr defaultColWidth="12.7109375" defaultRowHeight="15.75" customHeight="1"/>
  <cols>
    <col min="2" max="2" width="17.42578125" customWidth="1"/>
    <col min="3" max="3" width="33.7109375" customWidth="1"/>
    <col min="4" max="4" width="11.42578125" customWidth="1"/>
    <col min="5" max="6" width="30.28515625" customWidth="1"/>
    <col min="7" max="7" width="22.5703125" bestFit="1" customWidth="1"/>
    <col min="12" max="12" width="20.85546875" bestFit="1" customWidth="1"/>
    <col min="13" max="13" width="12.85546875" bestFit="1" customWidth="1"/>
    <col min="14" max="14" width="13.5703125" bestFit="1" customWidth="1"/>
    <col min="15" max="19" width="12.85546875" bestFit="1" customWidth="1"/>
  </cols>
  <sheetData>
    <row r="1" spans="1:12" ht="12.75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2" ht="12.7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2" ht="12.75">
      <c r="A3" s="103"/>
      <c r="B3" s="103"/>
      <c r="C3" s="43" t="s">
        <v>166</v>
      </c>
      <c r="D3" s="44"/>
      <c r="E3" s="44"/>
      <c r="F3" s="44"/>
      <c r="G3" s="44"/>
      <c r="H3" s="44"/>
      <c r="I3" s="44"/>
      <c r="J3" s="45"/>
      <c r="K3" s="103"/>
      <c r="L3" s="103"/>
    </row>
    <row r="4" spans="1:12" ht="12.75">
      <c r="A4" s="103"/>
      <c r="B4" s="103"/>
      <c r="C4" s="46" t="s">
        <v>209</v>
      </c>
      <c r="D4" s="47"/>
      <c r="E4" s="47"/>
      <c r="F4" s="47"/>
      <c r="G4" s="47"/>
      <c r="H4" s="47"/>
      <c r="I4" s="47"/>
      <c r="J4" s="48"/>
      <c r="K4" s="103"/>
      <c r="L4" s="103"/>
    </row>
    <row r="5" spans="1:12" ht="12.75">
      <c r="A5" s="103"/>
      <c r="B5" s="103"/>
      <c r="C5" s="49"/>
      <c r="D5" s="49"/>
      <c r="E5" s="51" t="s">
        <v>167</v>
      </c>
      <c r="F5" s="598" t="s">
        <v>0</v>
      </c>
      <c r="G5" s="599"/>
      <c r="H5" s="599"/>
      <c r="I5" s="599"/>
      <c r="J5" s="601"/>
      <c r="K5" s="103"/>
      <c r="L5" s="103"/>
    </row>
    <row r="6" spans="1:12" ht="12.75">
      <c r="A6" s="103"/>
      <c r="B6" s="103"/>
      <c r="C6" s="70"/>
      <c r="D6" s="70"/>
      <c r="E6" s="71">
        <v>2023</v>
      </c>
      <c r="F6" s="51">
        <v>2024</v>
      </c>
      <c r="G6" s="51">
        <v>2025</v>
      </c>
      <c r="H6" s="51">
        <v>2026</v>
      </c>
      <c r="I6" s="51">
        <v>2027</v>
      </c>
      <c r="J6" s="52">
        <v>2028</v>
      </c>
      <c r="K6" s="103"/>
      <c r="L6" s="103"/>
    </row>
    <row r="7" spans="1:12" ht="12.75">
      <c r="A7" s="103"/>
      <c r="B7" s="103"/>
      <c r="C7" s="9" t="s">
        <v>168</v>
      </c>
      <c r="D7" s="5"/>
      <c r="E7" s="34"/>
      <c r="F7" s="5"/>
      <c r="G7" s="5"/>
      <c r="H7" s="5"/>
      <c r="I7" s="5"/>
      <c r="J7" s="286" t="s">
        <v>270</v>
      </c>
      <c r="K7" s="103"/>
    </row>
    <row r="8" spans="1:12" ht="12.75">
      <c r="A8" s="103"/>
      <c r="B8" s="103"/>
      <c r="C8" s="72" t="s">
        <v>169</v>
      </c>
      <c r="D8" s="12"/>
      <c r="E8" s="73"/>
      <c r="F8" s="74">
        <v>1</v>
      </c>
      <c r="G8" s="74">
        <v>2</v>
      </c>
      <c r="H8" s="74">
        <v>3</v>
      </c>
      <c r="I8" s="74">
        <v>4</v>
      </c>
      <c r="J8" s="279">
        <v>5</v>
      </c>
      <c r="K8" s="103"/>
      <c r="L8" s="103"/>
    </row>
    <row r="9" spans="1:12" ht="12.75">
      <c r="A9" s="103"/>
      <c r="B9" s="103"/>
      <c r="C9" s="4" t="s">
        <v>31</v>
      </c>
      <c r="D9" s="5"/>
      <c r="E9" s="34"/>
      <c r="F9" s="15">
        <f>IS!H35</f>
        <v>-4126.3211833331552</v>
      </c>
      <c r="G9" s="15">
        <f>IS!I35</f>
        <v>55873.174881203566</v>
      </c>
      <c r="H9" s="15">
        <f>IS!J35</f>
        <v>67069.079551365081</v>
      </c>
      <c r="I9" s="15">
        <f>IS!K35</f>
        <v>86875.657537907697</v>
      </c>
      <c r="J9" s="280">
        <f>IS!L35</f>
        <v>99027.368691607451</v>
      </c>
      <c r="K9" s="103"/>
    </row>
    <row r="10" spans="1:12" ht="12.75">
      <c r="A10" s="103"/>
      <c r="B10" s="103"/>
      <c r="C10" s="11" t="s">
        <v>170</v>
      </c>
      <c r="D10" s="12"/>
      <c r="E10" s="73"/>
      <c r="F10" s="32">
        <f>'CF(WIP)'!H9</f>
        <v>1602.4116666666669</v>
      </c>
      <c r="G10" s="32">
        <f>'CF(WIP)'!I9</f>
        <v>1649.5806666666613</v>
      </c>
      <c r="H10" s="32">
        <f>'CF(WIP)'!J9</f>
        <v>1460.9046666666836</v>
      </c>
      <c r="I10" s="32">
        <f>'CF(WIP)'!K9</f>
        <v>1586.6886666666724</v>
      </c>
      <c r="J10" s="281">
        <f>'CF(WIP)'!L9</f>
        <v>1502.8326666666908</v>
      </c>
      <c r="K10" s="103"/>
      <c r="L10" s="103"/>
    </row>
    <row r="11" spans="1:12" ht="12.75">
      <c r="A11" s="103"/>
      <c r="B11" s="103"/>
      <c r="C11" s="9" t="s">
        <v>171</v>
      </c>
      <c r="D11" s="5"/>
      <c r="E11" s="34"/>
      <c r="F11" s="17">
        <f>F9-F10</f>
        <v>-5728.7328499998221</v>
      </c>
      <c r="G11" s="17">
        <f t="shared" ref="G11:J11" si="0">G9-G10</f>
        <v>54223.594214536904</v>
      </c>
      <c r="H11" s="17">
        <f t="shared" si="0"/>
        <v>65608.174884698397</v>
      </c>
      <c r="I11" s="17">
        <f t="shared" si="0"/>
        <v>85288.968871241028</v>
      </c>
      <c r="J11" s="282">
        <f t="shared" si="0"/>
        <v>97524.536024940753</v>
      </c>
      <c r="K11" s="103"/>
      <c r="L11" s="103"/>
    </row>
    <row r="12" spans="1:12" ht="12.75">
      <c r="A12" s="103"/>
      <c r="B12" s="103"/>
      <c r="C12" s="11" t="s">
        <v>172</v>
      </c>
      <c r="D12" s="12"/>
      <c r="E12" s="73"/>
      <c r="F12" s="32">
        <f>IS!H18</f>
        <v>-3327.1333333333337</v>
      </c>
      <c r="G12" s="32">
        <f>IS!I18</f>
        <v>-4193.7614814814815</v>
      </c>
      <c r="H12" s="32">
        <f>IS!J18</f>
        <v>-4147.6081646090533</v>
      </c>
      <c r="I12" s="32">
        <f>IS!K18</f>
        <v>-487.38530516689502</v>
      </c>
      <c r="J12" s="281">
        <f>IS!L18</f>
        <v>-2128.1286103297261</v>
      </c>
      <c r="K12" s="103"/>
      <c r="L12" s="103"/>
    </row>
    <row r="13" spans="1:12" ht="12.75">
      <c r="A13" s="103"/>
      <c r="B13" s="103"/>
      <c r="C13" s="565" t="s">
        <v>329</v>
      </c>
      <c r="D13" s="566"/>
      <c r="E13" s="567"/>
      <c r="F13" s="568">
        <f>IS!H19</f>
        <v>-1610.7611833330907</v>
      </c>
      <c r="G13" s="568">
        <f>IS!I19</f>
        <v>59364.233029351788</v>
      </c>
      <c r="H13" s="568">
        <f>IS!J19</f>
        <v>70119.571549307526</v>
      </c>
      <c r="I13" s="568">
        <f>IS!K19</f>
        <v>85826.802284741323</v>
      </c>
      <c r="J13" s="569">
        <f>IS!L19</f>
        <v>99127.991541520576</v>
      </c>
      <c r="K13" s="103"/>
      <c r="L13" s="103"/>
    </row>
    <row r="14" spans="1:12" ht="12.75">
      <c r="A14" s="103"/>
      <c r="B14" s="103"/>
      <c r="C14" s="9" t="s">
        <v>173</v>
      </c>
      <c r="D14" s="5"/>
      <c r="E14" s="34"/>
      <c r="F14" s="17">
        <f>F11+F12</f>
        <v>-9055.8661833331553</v>
      </c>
      <c r="G14" s="17">
        <f>G11+G12</f>
        <v>50029.832733055424</v>
      </c>
      <c r="H14" s="17">
        <f>H11+H12</f>
        <v>61460.566720089344</v>
      </c>
      <c r="I14" s="17">
        <f>I11+I12</f>
        <v>84801.583566074129</v>
      </c>
      <c r="J14" s="282">
        <f>J11+J12</f>
        <v>95396.407414611022</v>
      </c>
      <c r="K14" s="103"/>
      <c r="L14" s="103"/>
    </row>
    <row r="15" spans="1:12" ht="12.75">
      <c r="A15" s="103"/>
      <c r="B15" s="103"/>
      <c r="C15" s="4" t="s">
        <v>174</v>
      </c>
      <c r="D15" s="5"/>
      <c r="E15" s="34"/>
      <c r="F15" s="15">
        <f>F10</f>
        <v>1602.4116666666669</v>
      </c>
      <c r="G15" s="15">
        <f>G10</f>
        <v>1649.5806666666613</v>
      </c>
      <c r="H15" s="15">
        <f>H10</f>
        <v>1460.9046666666836</v>
      </c>
      <c r="I15" s="15">
        <f>I10</f>
        <v>1586.6886666666724</v>
      </c>
      <c r="J15" s="280">
        <f>J10</f>
        <v>1502.8326666666908</v>
      </c>
      <c r="K15" s="103"/>
      <c r="L15" s="103"/>
    </row>
    <row r="16" spans="1:12" ht="12.75">
      <c r="A16" s="103"/>
      <c r="B16" s="103"/>
      <c r="C16" s="4" t="s">
        <v>175</v>
      </c>
      <c r="D16" s="5"/>
      <c r="E16" s="34"/>
      <c r="F16" s="15">
        <f>'CF(WIP)'!H22</f>
        <v>4265.6783333334333</v>
      </c>
      <c r="G16" s="15">
        <f>'CF(WIP)'!I22</f>
        <v>1942.1923333337254</v>
      </c>
      <c r="H16" s="15">
        <f>'CF(WIP)'!J22</f>
        <v>-404.4092166665032</v>
      </c>
      <c r="I16" s="15">
        <f>'CF(WIP)'!K22</f>
        <v>-2459.0162450593543</v>
      </c>
      <c r="J16" s="280">
        <f>'CF(WIP)'!L22</f>
        <v>-4809.7392869458236</v>
      </c>
      <c r="K16" s="103"/>
      <c r="L16" s="103"/>
    </row>
    <row r="17" spans="1:201" ht="12.75">
      <c r="A17" s="103"/>
      <c r="B17" s="103"/>
      <c r="C17" s="11" t="s">
        <v>176</v>
      </c>
      <c r="D17" s="12"/>
      <c r="E17" s="73"/>
      <c r="F17" s="32">
        <f>'CF(WIP)'!H26</f>
        <v>-19726.333333333489</v>
      </c>
      <c r="G17" s="32">
        <f>'CF(WIP)'!I26</f>
        <v>-23671.600000000184</v>
      </c>
      <c r="H17" s="32">
        <f>'CF(WIP)'!J26</f>
        <v>-21304.440000000166</v>
      </c>
      <c r="I17" s="32">
        <f>'CF(WIP)'!K26</f>
        <v>-19173.996000000148</v>
      </c>
      <c r="J17" s="281">
        <f>'CF(WIP)'!L26</f>
        <v>-17256.596400000133</v>
      </c>
      <c r="K17" s="103"/>
      <c r="L17" s="103"/>
    </row>
    <row r="18" spans="1:201" ht="12.75">
      <c r="A18" s="103"/>
      <c r="B18" s="103"/>
      <c r="C18" s="72" t="s">
        <v>177</v>
      </c>
      <c r="D18" s="275" t="s">
        <v>263</v>
      </c>
      <c r="E18" s="73"/>
      <c r="F18" s="75">
        <f t="shared" ref="F18:J18" si="1">SUM(F14:F17)</f>
        <v>-22914.109516666544</v>
      </c>
      <c r="G18" s="76">
        <f>SUM(G14:G17)</f>
        <v>29950.005733055626</v>
      </c>
      <c r="H18" s="76">
        <f t="shared" si="1"/>
        <v>41212.622170089366</v>
      </c>
      <c r="I18" s="76">
        <f t="shared" si="1"/>
        <v>64755.259987681304</v>
      </c>
      <c r="J18" s="283">
        <f t="shared" si="1"/>
        <v>74832.904394331737</v>
      </c>
      <c r="K18" s="103">
        <f>J18*((1+2%))</f>
        <v>76329.562482218374</v>
      </c>
      <c r="L18" s="103">
        <f t="shared" ref="L18:X18" si="2">K18*((1+2%))</f>
        <v>77856.153731862738</v>
      </c>
      <c r="M18" s="103">
        <f t="shared" si="2"/>
        <v>79413.276806499998</v>
      </c>
      <c r="N18" s="103">
        <f t="shared" si="2"/>
        <v>81001.542342629997</v>
      </c>
      <c r="O18" s="103">
        <f t="shared" si="2"/>
        <v>82621.573189482602</v>
      </c>
      <c r="P18" s="103">
        <f t="shared" si="2"/>
        <v>84274.004653272263</v>
      </c>
      <c r="Q18" s="103">
        <f t="shared" si="2"/>
        <v>85959.484746337708</v>
      </c>
      <c r="R18" s="103">
        <f t="shared" si="2"/>
        <v>87678.674441264462</v>
      </c>
      <c r="S18" s="103">
        <f t="shared" si="2"/>
        <v>89432.247930089754</v>
      </c>
      <c r="T18" s="103">
        <f t="shared" si="2"/>
        <v>91220.892888691553</v>
      </c>
      <c r="U18" s="103">
        <f t="shared" si="2"/>
        <v>93045.310746465388</v>
      </c>
      <c r="V18" s="103">
        <f t="shared" si="2"/>
        <v>94906.21696139469</v>
      </c>
      <c r="W18" s="103">
        <f t="shared" si="2"/>
        <v>96804.341300622589</v>
      </c>
      <c r="X18" s="103">
        <f t="shared" si="2"/>
        <v>98740.428126635044</v>
      </c>
      <c r="Y18" s="103">
        <f>X18*((1+1%))</f>
        <v>99727.832407901398</v>
      </c>
      <c r="Z18" s="103">
        <f t="shared" ref="Z18:CK18" si="3">Y18*((1+1%))</f>
        <v>100725.11073198041</v>
      </c>
      <c r="AA18" s="103">
        <f t="shared" si="3"/>
        <v>101732.36183930023</v>
      </c>
      <c r="AB18" s="103">
        <f t="shared" si="3"/>
        <v>102749.68545769322</v>
      </c>
      <c r="AC18" s="103">
        <f t="shared" si="3"/>
        <v>103777.18231227016</v>
      </c>
      <c r="AD18" s="103">
        <f t="shared" si="3"/>
        <v>104814.95413539287</v>
      </c>
      <c r="AE18" s="103">
        <f t="shared" si="3"/>
        <v>105863.10367674679</v>
      </c>
      <c r="AF18" s="103">
        <f t="shared" si="3"/>
        <v>106921.73471351426</v>
      </c>
      <c r="AG18" s="103">
        <f t="shared" si="3"/>
        <v>107990.9520606494</v>
      </c>
      <c r="AH18" s="103">
        <f t="shared" si="3"/>
        <v>109070.8615812559</v>
      </c>
      <c r="AI18" s="103">
        <f t="shared" si="3"/>
        <v>110161.57019706846</v>
      </c>
      <c r="AJ18" s="103">
        <f t="shared" si="3"/>
        <v>111263.18589903915</v>
      </c>
      <c r="AK18" s="103">
        <f t="shared" si="3"/>
        <v>112375.81775802955</v>
      </c>
      <c r="AL18" s="103">
        <f t="shared" si="3"/>
        <v>113499.57593560984</v>
      </c>
      <c r="AM18" s="103">
        <f t="shared" si="3"/>
        <v>114634.57169496594</v>
      </c>
      <c r="AN18" s="103">
        <f t="shared" si="3"/>
        <v>115780.91741191559</v>
      </c>
      <c r="AO18" s="103">
        <f t="shared" si="3"/>
        <v>116938.72658603475</v>
      </c>
      <c r="AP18" s="103">
        <f t="shared" si="3"/>
        <v>118108.1138518951</v>
      </c>
      <c r="AQ18" s="103">
        <f t="shared" si="3"/>
        <v>119289.19499041406</v>
      </c>
      <c r="AR18" s="103">
        <f t="shared" si="3"/>
        <v>120482.0869403182</v>
      </c>
      <c r="AS18" s="103">
        <f t="shared" si="3"/>
        <v>121686.90780972138</v>
      </c>
      <c r="AT18" s="103">
        <f t="shared" si="3"/>
        <v>122903.77688781859</v>
      </c>
      <c r="AU18" s="103">
        <f t="shared" si="3"/>
        <v>124132.81465669678</v>
      </c>
      <c r="AV18" s="103">
        <f t="shared" si="3"/>
        <v>125374.14280326375</v>
      </c>
      <c r="AW18" s="103">
        <f t="shared" si="3"/>
        <v>126627.88423129638</v>
      </c>
      <c r="AX18" s="103">
        <f t="shared" si="3"/>
        <v>127894.16307360935</v>
      </c>
      <c r="AY18" s="103">
        <f t="shared" si="3"/>
        <v>129173.10470434545</v>
      </c>
      <c r="AZ18" s="103">
        <f t="shared" si="3"/>
        <v>130464.83575138891</v>
      </c>
      <c r="BA18" s="103">
        <f t="shared" si="3"/>
        <v>131769.48410890281</v>
      </c>
      <c r="BB18" s="103">
        <f t="shared" si="3"/>
        <v>133087.17894999182</v>
      </c>
      <c r="BC18" s="103">
        <f t="shared" si="3"/>
        <v>134418.05073949174</v>
      </c>
      <c r="BD18" s="103">
        <f t="shared" si="3"/>
        <v>135762.23124688666</v>
      </c>
      <c r="BE18" s="103">
        <f t="shared" si="3"/>
        <v>137119.85355935551</v>
      </c>
      <c r="BF18" s="103">
        <f t="shared" si="3"/>
        <v>138491.05209494906</v>
      </c>
      <c r="BG18" s="103">
        <f t="shared" si="3"/>
        <v>139875.96261589855</v>
      </c>
      <c r="BH18" s="103">
        <f t="shared" si="3"/>
        <v>141274.72224205753</v>
      </c>
      <c r="BI18" s="103">
        <f t="shared" si="3"/>
        <v>142687.46946447811</v>
      </c>
      <c r="BJ18" s="103">
        <f t="shared" si="3"/>
        <v>144114.34415912291</v>
      </c>
      <c r="BK18" s="103">
        <f t="shared" si="3"/>
        <v>145555.48760071414</v>
      </c>
      <c r="BL18" s="103">
        <f t="shared" si="3"/>
        <v>147011.04247672128</v>
      </c>
      <c r="BM18" s="103">
        <f t="shared" si="3"/>
        <v>148481.1529014885</v>
      </c>
      <c r="BN18" s="103">
        <f t="shared" si="3"/>
        <v>149965.9644305034</v>
      </c>
      <c r="BO18" s="103">
        <f t="shared" si="3"/>
        <v>151465.62407480844</v>
      </c>
      <c r="BP18" s="103">
        <f t="shared" si="3"/>
        <v>152980.28031555653</v>
      </c>
      <c r="BQ18" s="103">
        <f t="shared" si="3"/>
        <v>154510.08311871209</v>
      </c>
      <c r="BR18" s="103">
        <f t="shared" si="3"/>
        <v>156055.18394989922</v>
      </c>
      <c r="BS18" s="103">
        <f t="shared" si="3"/>
        <v>157615.73578939823</v>
      </c>
      <c r="BT18" s="103">
        <f t="shared" si="3"/>
        <v>159191.8931472922</v>
      </c>
      <c r="BU18" s="103">
        <f t="shared" si="3"/>
        <v>160783.81207876513</v>
      </c>
      <c r="BV18" s="103">
        <f t="shared" si="3"/>
        <v>162391.65019955279</v>
      </c>
      <c r="BW18" s="103">
        <f t="shared" si="3"/>
        <v>164015.56670154832</v>
      </c>
      <c r="BX18" s="103">
        <f t="shared" si="3"/>
        <v>165655.72236856382</v>
      </c>
      <c r="BY18" s="103">
        <f t="shared" si="3"/>
        <v>167312.27959224946</v>
      </c>
      <c r="BZ18" s="103">
        <f t="shared" si="3"/>
        <v>168985.40238817196</v>
      </c>
      <c r="CA18" s="103">
        <f t="shared" si="3"/>
        <v>170675.25641205368</v>
      </c>
      <c r="CB18" s="103">
        <f t="shared" si="3"/>
        <v>172382.00897617423</v>
      </c>
      <c r="CC18" s="103">
        <f t="shared" si="3"/>
        <v>174105.82906593598</v>
      </c>
      <c r="CD18" s="103">
        <f t="shared" si="3"/>
        <v>175846.88735659534</v>
      </c>
      <c r="CE18" s="103">
        <f t="shared" si="3"/>
        <v>177605.3562301613</v>
      </c>
      <c r="CF18" s="103">
        <f t="shared" si="3"/>
        <v>179381.40979246292</v>
      </c>
      <c r="CG18" s="103">
        <f t="shared" si="3"/>
        <v>181175.22389038754</v>
      </c>
      <c r="CH18" s="103">
        <f t="shared" si="3"/>
        <v>182986.9761292914</v>
      </c>
      <c r="CI18" s="103">
        <f t="shared" si="3"/>
        <v>184816.84589058431</v>
      </c>
      <c r="CJ18" s="103">
        <f t="shared" si="3"/>
        <v>186665.01434949017</v>
      </c>
      <c r="CK18" s="103">
        <f t="shared" si="3"/>
        <v>188531.66449298509</v>
      </c>
      <c r="CL18" s="103">
        <f t="shared" ref="CL18:EW18" si="4">CK18*((1+1%))</f>
        <v>190416.98113791493</v>
      </c>
      <c r="CM18" s="103">
        <f t="shared" si="4"/>
        <v>192321.1509492941</v>
      </c>
      <c r="CN18" s="103">
        <f t="shared" si="4"/>
        <v>194244.36245878704</v>
      </c>
      <c r="CO18" s="103">
        <f t="shared" si="4"/>
        <v>196186.80608337492</v>
      </c>
      <c r="CP18" s="103">
        <f t="shared" si="4"/>
        <v>198148.67414420866</v>
      </c>
      <c r="CQ18" s="103">
        <f t="shared" si="4"/>
        <v>200130.16088565075</v>
      </c>
      <c r="CR18" s="103">
        <f t="shared" si="4"/>
        <v>202131.46249450726</v>
      </c>
      <c r="CS18" s="103">
        <f t="shared" si="4"/>
        <v>204152.77711945234</v>
      </c>
      <c r="CT18" s="103">
        <f t="shared" si="4"/>
        <v>206194.30489064686</v>
      </c>
      <c r="CU18" s="103">
        <f t="shared" si="4"/>
        <v>208256.24793955334</v>
      </c>
      <c r="CV18" s="103">
        <f t="shared" si="4"/>
        <v>210338.81041894888</v>
      </c>
      <c r="CW18" s="103">
        <f t="shared" si="4"/>
        <v>212442.19852313836</v>
      </c>
      <c r="CX18" s="103">
        <f t="shared" si="4"/>
        <v>214566.62050836976</v>
      </c>
      <c r="CY18" s="103">
        <f t="shared" si="4"/>
        <v>216712.28671345345</v>
      </c>
      <c r="CZ18" s="103">
        <f t="shared" si="4"/>
        <v>218879.40958058799</v>
      </c>
      <c r="DA18" s="103">
        <f t="shared" si="4"/>
        <v>221068.20367639387</v>
      </c>
      <c r="DB18" s="103">
        <f t="shared" si="4"/>
        <v>223278.8857131578</v>
      </c>
      <c r="DC18" s="103">
        <f t="shared" si="4"/>
        <v>225511.67457028938</v>
      </c>
      <c r="DD18" s="103">
        <f t="shared" si="4"/>
        <v>227766.79131599228</v>
      </c>
      <c r="DE18" s="103">
        <f t="shared" si="4"/>
        <v>230044.45922915221</v>
      </c>
      <c r="DF18" s="103">
        <f t="shared" si="4"/>
        <v>232344.90382144373</v>
      </c>
      <c r="DG18" s="103">
        <f t="shared" si="4"/>
        <v>234668.35285965816</v>
      </c>
      <c r="DH18" s="103">
        <f t="shared" si="4"/>
        <v>237015.03638825475</v>
      </c>
      <c r="DI18" s="103">
        <f t="shared" si="4"/>
        <v>239385.18675213729</v>
      </c>
      <c r="DJ18" s="103">
        <f t="shared" si="4"/>
        <v>241779.03861965868</v>
      </c>
      <c r="DK18" s="103">
        <f t="shared" si="4"/>
        <v>244196.82900585525</v>
      </c>
      <c r="DL18" s="103">
        <f t="shared" si="4"/>
        <v>246638.7972959138</v>
      </c>
      <c r="DM18" s="103">
        <f t="shared" si="4"/>
        <v>249105.18526887294</v>
      </c>
      <c r="DN18" s="103">
        <f t="shared" si="4"/>
        <v>251596.23712156166</v>
      </c>
      <c r="DO18" s="103">
        <f t="shared" si="4"/>
        <v>254112.19949277729</v>
      </c>
      <c r="DP18" s="103">
        <f t="shared" si="4"/>
        <v>256653.32148770508</v>
      </c>
      <c r="DQ18" s="103">
        <f t="shared" si="4"/>
        <v>259219.85470258212</v>
      </c>
      <c r="DR18" s="103">
        <f t="shared" si="4"/>
        <v>261812.05324960794</v>
      </c>
      <c r="DS18" s="103">
        <f t="shared" si="4"/>
        <v>264430.17378210404</v>
      </c>
      <c r="DT18" s="103">
        <f t="shared" si="4"/>
        <v>267074.47551992506</v>
      </c>
      <c r="DU18" s="103">
        <f t="shared" si="4"/>
        <v>269745.2202751243</v>
      </c>
      <c r="DV18" s="103">
        <f t="shared" si="4"/>
        <v>272442.67247787555</v>
      </c>
      <c r="DW18" s="103">
        <f t="shared" si="4"/>
        <v>275167.09920265432</v>
      </c>
      <c r="DX18" s="103">
        <f t="shared" si="4"/>
        <v>277918.7701946809</v>
      </c>
      <c r="DY18" s="103">
        <f t="shared" si="4"/>
        <v>280697.95789662772</v>
      </c>
      <c r="DZ18" s="103">
        <f t="shared" si="4"/>
        <v>283504.93747559399</v>
      </c>
      <c r="EA18" s="103">
        <f t="shared" si="4"/>
        <v>286339.98685034993</v>
      </c>
      <c r="EB18" s="103">
        <f t="shared" si="4"/>
        <v>289203.38671885344</v>
      </c>
      <c r="EC18" s="103">
        <f t="shared" si="4"/>
        <v>292095.42058604199</v>
      </c>
      <c r="ED18" s="103">
        <f t="shared" si="4"/>
        <v>295016.37479190243</v>
      </c>
      <c r="EE18" s="103">
        <f t="shared" si="4"/>
        <v>297966.53853982146</v>
      </c>
      <c r="EF18" s="103">
        <f t="shared" si="4"/>
        <v>300946.20392521966</v>
      </c>
      <c r="EG18" s="103">
        <f t="shared" si="4"/>
        <v>303955.66596447187</v>
      </c>
      <c r="EH18" s="103">
        <f t="shared" si="4"/>
        <v>306995.22262411658</v>
      </c>
      <c r="EI18" s="103">
        <f t="shared" si="4"/>
        <v>310065.17485035775</v>
      </c>
      <c r="EJ18" s="103">
        <f t="shared" si="4"/>
        <v>313165.82659886131</v>
      </c>
      <c r="EK18" s="103">
        <f t="shared" si="4"/>
        <v>316297.48486484995</v>
      </c>
      <c r="EL18" s="103">
        <f t="shared" si="4"/>
        <v>319460.45971349842</v>
      </c>
      <c r="EM18" s="103">
        <f t="shared" si="4"/>
        <v>322655.0643106334</v>
      </c>
      <c r="EN18" s="103">
        <f t="shared" si="4"/>
        <v>325881.61495373974</v>
      </c>
      <c r="EO18" s="103">
        <f t="shared" si="4"/>
        <v>329140.43110327714</v>
      </c>
      <c r="EP18" s="103">
        <f t="shared" si="4"/>
        <v>332431.83541430993</v>
      </c>
      <c r="EQ18" s="103">
        <f t="shared" si="4"/>
        <v>335756.15376845305</v>
      </c>
      <c r="ER18" s="103">
        <f t="shared" si="4"/>
        <v>339113.71530613757</v>
      </c>
      <c r="ES18" s="103">
        <f t="shared" si="4"/>
        <v>342504.85245919897</v>
      </c>
      <c r="ET18" s="103">
        <f t="shared" si="4"/>
        <v>345929.90098379098</v>
      </c>
      <c r="EU18" s="103">
        <f t="shared" si="4"/>
        <v>349389.19999362889</v>
      </c>
      <c r="EV18" s="103">
        <f t="shared" si="4"/>
        <v>352883.09199356521</v>
      </c>
      <c r="EW18" s="103">
        <f t="shared" si="4"/>
        <v>356411.92291350086</v>
      </c>
      <c r="EX18" s="103">
        <f t="shared" ref="EX18:GS18" si="5">EW18*((1+1%))</f>
        <v>359976.04214263585</v>
      </c>
      <c r="EY18" s="103">
        <f t="shared" si="5"/>
        <v>363575.80256406224</v>
      </c>
      <c r="EZ18" s="103">
        <f t="shared" si="5"/>
        <v>367211.56058970286</v>
      </c>
      <c r="FA18" s="103">
        <f t="shared" si="5"/>
        <v>370883.6761955999</v>
      </c>
      <c r="FB18" s="103">
        <f t="shared" si="5"/>
        <v>374592.51295755588</v>
      </c>
      <c r="FC18" s="103">
        <f t="shared" si="5"/>
        <v>378338.43808713142</v>
      </c>
      <c r="FD18" s="103">
        <f t="shared" si="5"/>
        <v>382121.82246800273</v>
      </c>
      <c r="FE18" s="103">
        <f t="shared" si="5"/>
        <v>385943.04069268279</v>
      </c>
      <c r="FF18" s="103">
        <f t="shared" si="5"/>
        <v>389802.47109960963</v>
      </c>
      <c r="FG18" s="103">
        <f t="shared" si="5"/>
        <v>393700.4958106057</v>
      </c>
      <c r="FH18" s="103">
        <f t="shared" si="5"/>
        <v>397637.50076871179</v>
      </c>
      <c r="FI18" s="103">
        <f t="shared" si="5"/>
        <v>401613.87577639893</v>
      </c>
      <c r="FJ18" s="103">
        <f t="shared" si="5"/>
        <v>405630.01453416294</v>
      </c>
      <c r="FK18" s="103">
        <f t="shared" si="5"/>
        <v>409686.31467950455</v>
      </c>
      <c r="FL18" s="103">
        <f t="shared" si="5"/>
        <v>413783.17782629962</v>
      </c>
      <c r="FM18" s="103">
        <f t="shared" si="5"/>
        <v>417921.0096045626</v>
      </c>
      <c r="FN18" s="103">
        <f t="shared" si="5"/>
        <v>422100.21970060823</v>
      </c>
      <c r="FO18" s="103">
        <f t="shared" si="5"/>
        <v>426321.2218976143</v>
      </c>
      <c r="FP18" s="103">
        <f t="shared" si="5"/>
        <v>430584.43411659048</v>
      </c>
      <c r="FQ18" s="103">
        <f t="shared" si="5"/>
        <v>434890.27845775639</v>
      </c>
      <c r="FR18" s="103">
        <f t="shared" si="5"/>
        <v>439239.18124233396</v>
      </c>
      <c r="FS18" s="103">
        <f t="shared" si="5"/>
        <v>443631.57305475732</v>
      </c>
      <c r="FT18" s="103">
        <f t="shared" si="5"/>
        <v>448067.88878530491</v>
      </c>
      <c r="FU18" s="103">
        <f t="shared" si="5"/>
        <v>452548.56767315796</v>
      </c>
      <c r="FV18" s="103">
        <f t="shared" si="5"/>
        <v>457074.05334988952</v>
      </c>
      <c r="FW18" s="103">
        <f t="shared" si="5"/>
        <v>461644.7938833884</v>
      </c>
      <c r="FX18" s="103">
        <f t="shared" si="5"/>
        <v>466261.24182222231</v>
      </c>
      <c r="FY18" s="103">
        <f t="shared" si="5"/>
        <v>470923.85424044455</v>
      </c>
      <c r="FZ18" s="103">
        <f t="shared" si="5"/>
        <v>475633.09278284898</v>
      </c>
      <c r="GA18" s="103">
        <f t="shared" si="5"/>
        <v>480389.42371067748</v>
      </c>
      <c r="GB18" s="103">
        <f t="shared" si="5"/>
        <v>485193.31794778426</v>
      </c>
      <c r="GC18" s="103">
        <f t="shared" si="5"/>
        <v>490045.25112726213</v>
      </c>
      <c r="GD18" s="103">
        <f t="shared" si="5"/>
        <v>494945.70363853476</v>
      </c>
      <c r="GE18" s="103">
        <f t="shared" si="5"/>
        <v>499895.16067492013</v>
      </c>
      <c r="GF18" s="103">
        <f t="shared" si="5"/>
        <v>504894.11228166934</v>
      </c>
      <c r="GG18" s="103">
        <f t="shared" si="5"/>
        <v>509943.05340448604</v>
      </c>
      <c r="GH18" s="103">
        <f t="shared" si="5"/>
        <v>515042.4839385309</v>
      </c>
      <c r="GI18" s="103">
        <f t="shared" si="5"/>
        <v>520192.90877791622</v>
      </c>
      <c r="GJ18" s="103">
        <f t="shared" si="5"/>
        <v>525394.83786569536</v>
      </c>
      <c r="GK18" s="103">
        <f t="shared" si="5"/>
        <v>530648.78624435235</v>
      </c>
      <c r="GL18" s="103">
        <f t="shared" si="5"/>
        <v>535955.2741067959</v>
      </c>
      <c r="GM18" s="103">
        <f t="shared" si="5"/>
        <v>541314.82684786385</v>
      </c>
      <c r="GN18" s="103">
        <f t="shared" si="5"/>
        <v>546727.97511634254</v>
      </c>
      <c r="GO18" s="103">
        <f t="shared" si="5"/>
        <v>552195.25486750598</v>
      </c>
      <c r="GP18" s="103">
        <f t="shared" si="5"/>
        <v>557717.2074161811</v>
      </c>
      <c r="GQ18" s="103">
        <f t="shared" si="5"/>
        <v>563294.37949034292</v>
      </c>
      <c r="GR18" s="103">
        <f t="shared" si="5"/>
        <v>568927.32328524638</v>
      </c>
      <c r="GS18" s="103">
        <f t="shared" si="5"/>
        <v>574616.59651809884</v>
      </c>
    </row>
    <row r="19" spans="1:201" ht="12.75">
      <c r="A19" s="103"/>
      <c r="B19" s="103"/>
      <c r="C19" s="72" t="s">
        <v>177</v>
      </c>
      <c r="D19" s="275" t="s">
        <v>262</v>
      </c>
      <c r="E19" s="73"/>
      <c r="F19" s="75">
        <f>SUM(F13,F15:F17)</f>
        <v>-15469.004516666479</v>
      </c>
      <c r="G19" s="76">
        <f t="shared" ref="G19:J19" si="6">SUM(G13,G15:G17)</f>
        <v>39284.406029351987</v>
      </c>
      <c r="H19" s="76">
        <f t="shared" si="6"/>
        <v>49871.62699930754</v>
      </c>
      <c r="I19" s="76">
        <f t="shared" si="6"/>
        <v>65780.478706348498</v>
      </c>
      <c r="J19" s="283">
        <f t="shared" si="6"/>
        <v>78564.488521241292</v>
      </c>
      <c r="K19" s="103"/>
      <c r="L19" s="103"/>
    </row>
    <row r="20" spans="1:201" ht="12.75">
      <c r="A20" s="103"/>
      <c r="B20" s="103"/>
      <c r="C20" s="4" t="s">
        <v>178</v>
      </c>
      <c r="D20" s="5"/>
      <c r="E20" s="5"/>
      <c r="F20" s="77">
        <f>$F$47</f>
        <v>0.10076495222322882</v>
      </c>
      <c r="G20" s="77">
        <f t="shared" ref="G20:J20" si="7">$F$47</f>
        <v>0.10076495222322882</v>
      </c>
      <c r="H20" s="77">
        <f t="shared" si="7"/>
        <v>0.10076495222322882</v>
      </c>
      <c r="I20" s="77">
        <f t="shared" si="7"/>
        <v>0.10076495222322882</v>
      </c>
      <c r="J20" s="284">
        <f t="shared" si="7"/>
        <v>0.10076495222322882</v>
      </c>
      <c r="K20" s="108" t="s">
        <v>225</v>
      </c>
      <c r="L20" s="107">
        <f>NPV(F46,F18:GS18)</f>
        <v>686071.17413201672</v>
      </c>
    </row>
    <row r="21" spans="1:201" ht="12.75">
      <c r="A21" s="103"/>
      <c r="B21" s="103"/>
      <c r="C21" s="4" t="s">
        <v>179</v>
      </c>
      <c r="D21" s="5" t="s">
        <v>262</v>
      </c>
      <c r="E21" s="5"/>
      <c r="F21" s="79">
        <f>F19/SUM(1+F20)^F8</f>
        <v>-14052.95879508476</v>
      </c>
      <c r="G21" s="56">
        <f t="shared" ref="G21:J21" si="8">G19/SUM(1+G20)^G8</f>
        <v>32421.34326033531</v>
      </c>
      <c r="H21" s="56">
        <f t="shared" si="8"/>
        <v>37391.230418853716</v>
      </c>
      <c r="I21" s="56">
        <f t="shared" si="8"/>
        <v>44804.192659811386</v>
      </c>
      <c r="J21" s="285">
        <f t="shared" si="8"/>
        <v>48613.100452003047</v>
      </c>
      <c r="K21" s="108"/>
      <c r="L21" s="107"/>
    </row>
    <row r="22" spans="1:201" ht="12.75">
      <c r="A22" s="103"/>
      <c r="B22" s="103"/>
      <c r="C22" s="11" t="s">
        <v>179</v>
      </c>
      <c r="D22" s="12" t="s">
        <v>263</v>
      </c>
      <c r="E22" s="12"/>
      <c r="F22" s="79">
        <f>F18/SUM(1+F20)^F8</f>
        <v>-20816.532603428761</v>
      </c>
      <c r="G22" s="56">
        <f>G18/SUM(1+G20)^G8</f>
        <v>24717.68100031585</v>
      </c>
      <c r="H22" s="56">
        <f>H18/SUM(1+H20)^H8</f>
        <v>30899.145354699718</v>
      </c>
      <c r="I22" s="56">
        <f>I18/SUM(1+I20)^I8</f>
        <v>44105.898912289951</v>
      </c>
      <c r="J22" s="285">
        <f>J18/SUM(1+J20)^J8</f>
        <v>46304.119926310348</v>
      </c>
      <c r="K22" s="103"/>
      <c r="L22" s="107">
        <f>L20-D55</f>
        <v>668241.17413201672</v>
      </c>
    </row>
    <row r="23" spans="1:201" ht="12.75">
      <c r="A23" s="103"/>
      <c r="B23" s="103"/>
      <c r="C23" s="9" t="s">
        <v>263</v>
      </c>
      <c r="D23" s="80"/>
      <c r="E23" s="578" t="s">
        <v>262</v>
      </c>
      <c r="F23" s="571"/>
      <c r="G23" s="5"/>
      <c r="H23" s="5"/>
      <c r="I23" s="5"/>
      <c r="J23" s="34" t="s">
        <v>263</v>
      </c>
      <c r="K23" s="107">
        <f>L20/IS!J2</f>
        <v>8.7571629497091887</v>
      </c>
      <c r="L23" s="103"/>
      <c r="M23" s="88" t="s">
        <v>263</v>
      </c>
      <c r="N23" s="267">
        <f>L22/D57</f>
        <v>8.5295769188708359</v>
      </c>
    </row>
    <row r="24" spans="1:201" ht="12.75">
      <c r="A24" s="103"/>
      <c r="B24" s="103"/>
      <c r="C24" s="564" t="s">
        <v>180</v>
      </c>
      <c r="D24" s="576">
        <f>SUM(F22:J22)</f>
        <v>125210.31259018711</v>
      </c>
      <c r="E24" s="577" t="s">
        <v>330</v>
      </c>
      <c r="F24" s="174">
        <f>SUM(F21:J21)</f>
        <v>149176.90799591871</v>
      </c>
      <c r="G24" s="5"/>
      <c r="H24" s="5"/>
      <c r="I24" s="5"/>
      <c r="J24" s="34"/>
      <c r="K24" s="103"/>
      <c r="L24" s="103"/>
    </row>
    <row r="25" spans="1:201" ht="12.75">
      <c r="A25" s="103"/>
      <c r="B25" s="103"/>
      <c r="C25" s="9" t="s">
        <v>181</v>
      </c>
      <c r="D25" s="5"/>
      <c r="E25" s="217" t="s">
        <v>181</v>
      </c>
      <c r="F25" s="123"/>
      <c r="G25" s="5"/>
      <c r="H25" s="5"/>
      <c r="I25" s="5"/>
      <c r="J25" s="34"/>
      <c r="K25" s="103"/>
      <c r="L25" s="103"/>
      <c r="O25" s="89"/>
    </row>
    <row r="26" spans="1:201" ht="12.75">
      <c r="A26" s="103"/>
      <c r="B26" s="103"/>
      <c r="C26" s="9" t="s">
        <v>182</v>
      </c>
      <c r="D26" s="5"/>
      <c r="E26" s="217" t="s">
        <v>182</v>
      </c>
      <c r="F26" s="123"/>
      <c r="G26" s="16" t="s">
        <v>256</v>
      </c>
      <c r="H26" s="5"/>
      <c r="I26" s="5"/>
      <c r="J26" s="34"/>
      <c r="K26" s="103" t="s">
        <v>261</v>
      </c>
      <c r="L26" s="103"/>
    </row>
    <row r="27" spans="1:201" ht="12.75">
      <c r="A27" s="103"/>
      <c r="B27" s="103"/>
      <c r="C27" s="4" t="s">
        <v>183</v>
      </c>
      <c r="D27" s="81">
        <v>0.02</v>
      </c>
      <c r="E27" s="217" t="s">
        <v>183</v>
      </c>
      <c r="F27" s="133">
        <v>0.02</v>
      </c>
      <c r="G27" s="214"/>
      <c r="H27" s="215"/>
      <c r="I27" s="215"/>
      <c r="J27" s="216"/>
      <c r="K27" s="226"/>
      <c r="L27" s="103"/>
    </row>
    <row r="28" spans="1:201" ht="12.75">
      <c r="A28" s="103"/>
      <c r="B28" s="103"/>
      <c r="C28" s="4" t="s">
        <v>184</v>
      </c>
      <c r="D28" s="78">
        <f>F47</f>
        <v>0.10076495222322882</v>
      </c>
      <c r="E28" s="602" t="s">
        <v>347</v>
      </c>
      <c r="F28" s="171">
        <f>D42</f>
        <v>0.10352499999999999</v>
      </c>
      <c r="G28" s="217"/>
      <c r="H28" s="131" t="s">
        <v>222</v>
      </c>
      <c r="I28" s="131"/>
      <c r="J28" s="218"/>
      <c r="K28" s="103"/>
      <c r="L28" s="103"/>
      <c r="O28" s="90"/>
    </row>
    <row r="29" spans="1:201" ht="12.75">
      <c r="A29" s="103"/>
      <c r="B29" s="103"/>
      <c r="C29" s="4" t="s">
        <v>185</v>
      </c>
      <c r="D29" s="23">
        <f>J18*SUM(1+D27)</f>
        <v>76329.562482218374</v>
      </c>
      <c r="E29" s="217" t="s">
        <v>185</v>
      </c>
      <c r="F29" s="572">
        <f>J19*SUM(1+F27)</f>
        <v>80135.778291666124</v>
      </c>
      <c r="G29" s="219">
        <f>MEDIAN(H29:H32)</f>
        <v>0.05</v>
      </c>
      <c r="H29" s="220">
        <f>9.9%</f>
        <v>9.9000000000000005E-2</v>
      </c>
      <c r="I29" s="133">
        <f>_xlfn.STDEV.P(H29:H32)</f>
        <v>2.2708753818736962E-2</v>
      </c>
      <c r="J29" s="218"/>
      <c r="K29" s="103"/>
      <c r="L29" s="103"/>
    </row>
    <row r="30" spans="1:201" ht="13.5" thickBot="1">
      <c r="A30" s="103"/>
      <c r="B30" s="103"/>
      <c r="C30" s="4" t="s">
        <v>186</v>
      </c>
      <c r="D30" s="23">
        <f>D29/SUM(D28-D27)</f>
        <v>945082.74172253173</v>
      </c>
      <c r="E30" s="217" t="s">
        <v>186</v>
      </c>
      <c r="F30" s="573">
        <f>F29/SUM(F28-F27)</f>
        <v>959422.66736505402</v>
      </c>
      <c r="G30" s="221">
        <f>SUM(H29:H32)/5</f>
        <v>4.82E-2</v>
      </c>
      <c r="H30" s="171">
        <v>5.2999999999999999E-2</v>
      </c>
      <c r="I30" s="123"/>
      <c r="J30" s="218"/>
      <c r="K30" s="103"/>
      <c r="L30" s="300" t="s">
        <v>269</v>
      </c>
      <c r="M30" s="301"/>
    </row>
    <row r="31" spans="1:201" ht="12.75">
      <c r="A31" s="103"/>
      <c r="B31" s="103"/>
      <c r="C31" s="574" t="s">
        <v>187</v>
      </c>
      <c r="D31" s="575">
        <f>D30/SUM(1+J20)^J8</f>
        <v>584785.86348067783</v>
      </c>
      <c r="E31" s="579" t="s">
        <v>187</v>
      </c>
      <c r="F31" s="580">
        <f>F30/SUM(1+J20)^J8</f>
        <v>593658.93398435344</v>
      </c>
      <c r="G31" s="217"/>
      <c r="H31" s="171">
        <v>4.2000000000000003E-2</v>
      </c>
      <c r="I31" s="123"/>
      <c r="J31" s="218"/>
      <c r="K31" s="103"/>
      <c r="L31" s="294"/>
      <c r="M31" s="295"/>
      <c r="O31" s="90"/>
    </row>
    <row r="32" spans="1:201" ht="12.75">
      <c r="A32" s="103"/>
      <c r="B32" s="103"/>
      <c r="C32" s="33"/>
      <c r="D32" s="5"/>
      <c r="E32" s="5"/>
      <c r="F32" s="5"/>
      <c r="G32" s="217"/>
      <c r="H32" s="171">
        <v>4.7E-2</v>
      </c>
      <c r="I32" s="123"/>
      <c r="J32" s="218"/>
      <c r="K32" s="103"/>
      <c r="L32" s="296">
        <f>I18*J63</f>
        <v>464275.55916291714</v>
      </c>
      <c r="M32" s="295"/>
    </row>
    <row r="33" spans="1:92" ht="12.75">
      <c r="A33" s="105"/>
      <c r="B33" s="105"/>
      <c r="C33" s="9" t="s">
        <v>213</v>
      </c>
      <c r="D33" s="5"/>
      <c r="E33" s="5"/>
      <c r="F33" s="5"/>
      <c r="G33" s="217"/>
      <c r="H33" s="123"/>
      <c r="I33" s="123"/>
      <c r="J33" s="218"/>
      <c r="K33" s="103"/>
      <c r="L33" s="297">
        <f>D23</f>
        <v>0</v>
      </c>
      <c r="M33" s="295"/>
    </row>
    <row r="34" spans="1:92" ht="12.75">
      <c r="A34" s="105"/>
      <c r="B34" s="105"/>
      <c r="C34" s="4" t="s">
        <v>189</v>
      </c>
      <c r="D34" s="93">
        <f>Dashboard!G41</f>
        <v>6</v>
      </c>
      <c r="E34" s="6" t="s">
        <v>211</v>
      </c>
      <c r="F34" s="5"/>
      <c r="G34" s="217"/>
      <c r="H34" s="131" t="s">
        <v>221</v>
      </c>
      <c r="I34" s="123"/>
      <c r="J34" s="218"/>
      <c r="K34" s="103"/>
      <c r="L34" s="296">
        <f>SUM(L32:L33)</f>
        <v>464275.55916291714</v>
      </c>
      <c r="M34" s="295"/>
      <c r="O34" s="91"/>
    </row>
    <row r="35" spans="1:92" ht="12.75">
      <c r="A35" s="103"/>
      <c r="B35" s="103"/>
      <c r="C35" s="4" t="s">
        <v>190</v>
      </c>
      <c r="D35" s="23">
        <f>IS!G27</f>
        <v>78344</v>
      </c>
      <c r="E35" s="5"/>
      <c r="F35" s="5"/>
      <c r="G35" s="217"/>
      <c r="H35" s="123"/>
      <c r="I35" s="123"/>
      <c r="J35" s="218"/>
      <c r="K35" s="103"/>
      <c r="L35" s="294"/>
      <c r="M35" s="295"/>
    </row>
    <row r="36" spans="1:92" ht="12.75">
      <c r="A36" s="105"/>
      <c r="B36" s="105"/>
      <c r="C36" s="2" t="s">
        <v>191</v>
      </c>
      <c r="D36" s="82">
        <v>2.8000000000000001E-2</v>
      </c>
      <c r="E36" s="5"/>
      <c r="F36" s="5"/>
      <c r="G36" s="217"/>
      <c r="H36" s="123"/>
      <c r="I36" s="123"/>
      <c r="J36" s="218"/>
      <c r="K36" s="103"/>
      <c r="L36" s="302">
        <f>(L34-D55)/D57</f>
        <v>5.6985290406785092</v>
      </c>
      <c r="M36" s="295"/>
    </row>
    <row r="37" spans="1:92" ht="12.75">
      <c r="A37" s="103"/>
      <c r="B37" s="103"/>
      <c r="C37" s="4" t="s">
        <v>192</v>
      </c>
      <c r="D37" s="83">
        <v>0.3</v>
      </c>
      <c r="E37" s="5"/>
      <c r="F37" s="5"/>
      <c r="G37" s="217"/>
      <c r="H37" s="123" t="s">
        <v>223</v>
      </c>
      <c r="I37" s="131" t="s">
        <v>224</v>
      </c>
      <c r="J37" s="218"/>
      <c r="K37" s="103"/>
      <c r="L37" s="298"/>
      <c r="M37" s="299"/>
      <c r="N37" s="88"/>
    </row>
    <row r="38" spans="1:92" ht="12.75">
      <c r="A38" s="103"/>
      <c r="B38" s="103"/>
      <c r="C38" s="4" t="s">
        <v>193</v>
      </c>
      <c r="D38" s="38">
        <f>D36*SUM(1-D37)</f>
        <v>1.9599999999999999E-2</v>
      </c>
      <c r="E38" s="5"/>
      <c r="F38" s="5"/>
      <c r="G38" s="217"/>
      <c r="H38" s="123">
        <f>326+253+282</f>
        <v>861</v>
      </c>
      <c r="I38" s="133">
        <f>326/H38</f>
        <v>0.37862950058072009</v>
      </c>
      <c r="J38" s="218"/>
      <c r="K38" s="103"/>
      <c r="L38" s="103"/>
    </row>
    <row r="39" spans="1:92" ht="12.75">
      <c r="A39" s="103"/>
      <c r="B39" s="103"/>
      <c r="C39" s="4" t="s">
        <v>194</v>
      </c>
      <c r="D39" s="507">
        <f>Dashboard!C34</f>
        <v>0.75</v>
      </c>
      <c r="E39" s="5">
        <v>0.56999999999999995</v>
      </c>
      <c r="F39" s="5" t="s">
        <v>292</v>
      </c>
      <c r="G39" s="217"/>
      <c r="H39" s="123"/>
      <c r="I39" s="131" t="s">
        <v>226</v>
      </c>
      <c r="J39" s="218"/>
      <c r="K39" s="103"/>
      <c r="L39" s="103"/>
    </row>
    <row r="40" spans="1:92" ht="12.75">
      <c r="A40" s="103"/>
      <c r="B40" s="103"/>
      <c r="C40" s="4" t="s">
        <v>195</v>
      </c>
      <c r="D40" s="83">
        <v>4.24E-2</v>
      </c>
      <c r="E40" s="6" t="s">
        <v>196</v>
      </c>
      <c r="F40" s="5"/>
      <c r="G40" s="217"/>
      <c r="H40" s="123"/>
      <c r="I40" s="133">
        <f>253/H38</f>
        <v>0.2938443670150987</v>
      </c>
      <c r="J40" s="218"/>
      <c r="K40" s="103"/>
      <c r="L40" s="103"/>
    </row>
    <row r="41" spans="1:92" ht="12.75">
      <c r="A41" s="103"/>
      <c r="B41" s="103"/>
      <c r="C41" s="4" t="s">
        <v>197</v>
      </c>
      <c r="D41" s="83">
        <v>0.1239</v>
      </c>
      <c r="E41" s="6" t="s">
        <v>198</v>
      </c>
      <c r="F41" s="5"/>
      <c r="G41" s="217"/>
      <c r="H41" s="123"/>
      <c r="I41" s="131" t="s">
        <v>227</v>
      </c>
      <c r="J41" s="218"/>
      <c r="K41" s="104"/>
      <c r="L41" s="103"/>
      <c r="Q41" s="88"/>
      <c r="R41" s="527"/>
    </row>
    <row r="42" spans="1:92" ht="12.75">
      <c r="A42" s="103"/>
      <c r="B42" s="103"/>
      <c r="C42" s="2" t="s">
        <v>199</v>
      </c>
      <c r="D42" s="84">
        <f>D40+SUM(D39*SUM(D41-D40))</f>
        <v>0.10352499999999999</v>
      </c>
      <c r="E42" s="5"/>
      <c r="F42" s="5"/>
      <c r="G42" s="217"/>
      <c r="H42" s="123"/>
      <c r="I42" s="133">
        <f>282/H38</f>
        <v>0.32752613240418116</v>
      </c>
      <c r="J42" s="218"/>
      <c r="K42" s="105"/>
      <c r="L42" s="533" t="s">
        <v>320</v>
      </c>
    </row>
    <row r="43" spans="1:92" ht="12.75">
      <c r="A43" s="103"/>
      <c r="B43" s="103"/>
      <c r="C43" s="33"/>
      <c r="D43" s="5"/>
      <c r="E43" s="5"/>
      <c r="F43" s="5"/>
      <c r="G43" s="217"/>
      <c r="H43" s="123"/>
      <c r="I43" s="123"/>
      <c r="J43" s="218"/>
      <c r="K43" s="105"/>
      <c r="L43" s="534"/>
    </row>
    <row r="44" spans="1:92" ht="12.75">
      <c r="A44" s="103"/>
      <c r="B44" s="103"/>
      <c r="C44" s="4" t="s">
        <v>200</v>
      </c>
      <c r="D44" s="85">
        <v>17830</v>
      </c>
      <c r="E44" s="5"/>
      <c r="F44" s="5"/>
      <c r="G44" s="217"/>
      <c r="H44" s="123"/>
      <c r="I44" s="222" t="s">
        <v>228</v>
      </c>
      <c r="J44" s="218"/>
      <c r="K44" s="103"/>
      <c r="L44" s="535" t="s">
        <v>321</v>
      </c>
      <c r="M44" s="520" t="s">
        <v>321</v>
      </c>
      <c r="N44" s="521" t="s">
        <v>321</v>
      </c>
      <c r="O44" s="520" t="s">
        <v>322</v>
      </c>
      <c r="P44" s="522" t="s">
        <v>322</v>
      </c>
      <c r="Q44" s="520" t="s">
        <v>322</v>
      </c>
      <c r="R44" s="520" t="s">
        <v>322</v>
      </c>
      <c r="S44" s="528" t="s">
        <v>270</v>
      </c>
      <c r="T44" s="530"/>
      <c r="U44" s="531"/>
      <c r="AO44" s="87" t="s">
        <v>323</v>
      </c>
      <c r="BI44" s="88" t="s">
        <v>324</v>
      </c>
    </row>
    <row r="45" spans="1:92" ht="12.75">
      <c r="A45" s="103"/>
      <c r="B45" s="103"/>
      <c r="C45" s="4" t="s">
        <v>201</v>
      </c>
      <c r="D45" s="23">
        <f>D34*D35</f>
        <v>470064</v>
      </c>
      <c r="E45" s="5"/>
      <c r="F45" s="16" t="s">
        <v>188</v>
      </c>
      <c r="G45" s="223"/>
      <c r="H45" s="97"/>
      <c r="I45" s="224">
        <f>I42+I40+I38</f>
        <v>1</v>
      </c>
      <c r="J45" s="225"/>
      <c r="K45" s="103"/>
      <c r="L45" s="536">
        <v>2021</v>
      </c>
      <c r="M45" s="524">
        <v>2022</v>
      </c>
      <c r="N45" s="526">
        <v>2023</v>
      </c>
      <c r="O45" s="524">
        <v>2024</v>
      </c>
      <c r="P45" s="525">
        <v>2025</v>
      </c>
      <c r="Q45" s="525">
        <v>2026</v>
      </c>
      <c r="R45" s="525">
        <v>2027</v>
      </c>
      <c r="S45" s="529">
        <v>2028</v>
      </c>
      <c r="T45" s="531">
        <f>S45+1</f>
        <v>2029</v>
      </c>
      <c r="U45" s="531">
        <f t="shared" ref="U45:CF45" si="9">T45+1</f>
        <v>2030</v>
      </c>
      <c r="V45" s="531">
        <f t="shared" si="9"/>
        <v>2031</v>
      </c>
      <c r="W45" s="531">
        <f t="shared" si="9"/>
        <v>2032</v>
      </c>
      <c r="X45" s="531">
        <f t="shared" si="9"/>
        <v>2033</v>
      </c>
      <c r="Y45" s="531">
        <f t="shared" si="9"/>
        <v>2034</v>
      </c>
      <c r="Z45" s="531">
        <f t="shared" si="9"/>
        <v>2035</v>
      </c>
      <c r="AA45" s="531">
        <f t="shared" si="9"/>
        <v>2036</v>
      </c>
      <c r="AB45" s="531">
        <f t="shared" si="9"/>
        <v>2037</v>
      </c>
      <c r="AC45" s="531">
        <f t="shared" si="9"/>
        <v>2038</v>
      </c>
      <c r="AD45" s="531">
        <f t="shared" si="9"/>
        <v>2039</v>
      </c>
      <c r="AE45" s="531">
        <f t="shared" si="9"/>
        <v>2040</v>
      </c>
      <c r="AF45" s="531">
        <f t="shared" si="9"/>
        <v>2041</v>
      </c>
      <c r="AG45" s="531">
        <f t="shared" si="9"/>
        <v>2042</v>
      </c>
      <c r="AH45" s="531">
        <f t="shared" si="9"/>
        <v>2043</v>
      </c>
      <c r="AI45" s="531">
        <f t="shared" si="9"/>
        <v>2044</v>
      </c>
      <c r="AJ45" s="531">
        <f t="shared" si="9"/>
        <v>2045</v>
      </c>
      <c r="AK45" s="531">
        <f t="shared" si="9"/>
        <v>2046</v>
      </c>
      <c r="AL45" s="531">
        <f t="shared" si="9"/>
        <v>2047</v>
      </c>
      <c r="AM45" s="531">
        <f t="shared" si="9"/>
        <v>2048</v>
      </c>
      <c r="AN45" s="531">
        <f t="shared" si="9"/>
        <v>2049</v>
      </c>
      <c r="AO45" s="531">
        <f t="shared" si="9"/>
        <v>2050</v>
      </c>
      <c r="AP45" s="531">
        <f t="shared" si="9"/>
        <v>2051</v>
      </c>
      <c r="AQ45" s="531">
        <f t="shared" si="9"/>
        <v>2052</v>
      </c>
      <c r="AR45" s="531">
        <f t="shared" si="9"/>
        <v>2053</v>
      </c>
      <c r="AS45" s="531">
        <f t="shared" si="9"/>
        <v>2054</v>
      </c>
      <c r="AT45" s="531">
        <f t="shared" si="9"/>
        <v>2055</v>
      </c>
      <c r="AU45" s="531">
        <f t="shared" si="9"/>
        <v>2056</v>
      </c>
      <c r="AV45" s="531">
        <f t="shared" si="9"/>
        <v>2057</v>
      </c>
      <c r="AW45" s="531">
        <f t="shared" si="9"/>
        <v>2058</v>
      </c>
      <c r="AX45" s="531">
        <f t="shared" si="9"/>
        <v>2059</v>
      </c>
      <c r="AY45" s="531">
        <f t="shared" si="9"/>
        <v>2060</v>
      </c>
      <c r="AZ45" s="531">
        <f t="shared" si="9"/>
        <v>2061</v>
      </c>
      <c r="BA45" s="531">
        <f t="shared" si="9"/>
        <v>2062</v>
      </c>
      <c r="BB45" s="531">
        <f t="shared" si="9"/>
        <v>2063</v>
      </c>
      <c r="BC45" s="531">
        <f t="shared" si="9"/>
        <v>2064</v>
      </c>
      <c r="BD45" s="531">
        <f t="shared" si="9"/>
        <v>2065</v>
      </c>
      <c r="BE45" s="531">
        <f t="shared" si="9"/>
        <v>2066</v>
      </c>
      <c r="BF45" s="531">
        <f t="shared" si="9"/>
        <v>2067</v>
      </c>
      <c r="BG45" s="531">
        <f t="shared" si="9"/>
        <v>2068</v>
      </c>
      <c r="BH45" s="531">
        <f t="shared" si="9"/>
        <v>2069</v>
      </c>
      <c r="BI45" s="531">
        <f t="shared" si="9"/>
        <v>2070</v>
      </c>
      <c r="BJ45" s="531">
        <f t="shared" si="9"/>
        <v>2071</v>
      </c>
      <c r="BK45" s="531">
        <f t="shared" si="9"/>
        <v>2072</v>
      </c>
      <c r="BL45" s="531">
        <f t="shared" si="9"/>
        <v>2073</v>
      </c>
      <c r="BM45" s="531">
        <f t="shared" si="9"/>
        <v>2074</v>
      </c>
      <c r="BN45" s="531">
        <f t="shared" si="9"/>
        <v>2075</v>
      </c>
      <c r="BO45" s="531">
        <f t="shared" si="9"/>
        <v>2076</v>
      </c>
      <c r="BP45" s="531">
        <f t="shared" si="9"/>
        <v>2077</v>
      </c>
      <c r="BQ45" s="531">
        <f t="shared" si="9"/>
        <v>2078</v>
      </c>
      <c r="BR45" s="531">
        <f t="shared" si="9"/>
        <v>2079</v>
      </c>
      <c r="BS45" s="531">
        <f t="shared" si="9"/>
        <v>2080</v>
      </c>
      <c r="BT45" s="531">
        <f t="shared" si="9"/>
        <v>2081</v>
      </c>
      <c r="BU45" s="531">
        <f t="shared" si="9"/>
        <v>2082</v>
      </c>
      <c r="BV45" s="531">
        <f t="shared" si="9"/>
        <v>2083</v>
      </c>
      <c r="BW45" s="531">
        <f t="shared" si="9"/>
        <v>2084</v>
      </c>
      <c r="BX45" s="531">
        <f t="shared" si="9"/>
        <v>2085</v>
      </c>
      <c r="BY45" s="531">
        <f t="shared" si="9"/>
        <v>2086</v>
      </c>
      <c r="BZ45" s="531">
        <f t="shared" si="9"/>
        <v>2087</v>
      </c>
      <c r="CA45" s="531">
        <f t="shared" si="9"/>
        <v>2088</v>
      </c>
      <c r="CB45" s="531">
        <f t="shared" si="9"/>
        <v>2089</v>
      </c>
      <c r="CC45" s="531">
        <f t="shared" si="9"/>
        <v>2090</v>
      </c>
      <c r="CD45" s="531">
        <f t="shared" si="9"/>
        <v>2091</v>
      </c>
      <c r="CE45" s="531">
        <f t="shared" si="9"/>
        <v>2092</v>
      </c>
      <c r="CF45" s="531">
        <f t="shared" si="9"/>
        <v>2093</v>
      </c>
      <c r="CG45" s="531">
        <f t="shared" ref="CG45:CN45" si="10">CF45+1</f>
        <v>2094</v>
      </c>
      <c r="CH45" s="531">
        <f t="shared" si="10"/>
        <v>2095</v>
      </c>
      <c r="CI45" s="531">
        <f t="shared" si="10"/>
        <v>2096</v>
      </c>
      <c r="CJ45" s="531">
        <f t="shared" si="10"/>
        <v>2097</v>
      </c>
      <c r="CK45" s="531">
        <f t="shared" si="10"/>
        <v>2098</v>
      </c>
      <c r="CL45" s="531">
        <f t="shared" si="10"/>
        <v>2099</v>
      </c>
      <c r="CM45" s="531">
        <f t="shared" si="10"/>
        <v>2100</v>
      </c>
      <c r="CN45" s="531">
        <f t="shared" si="10"/>
        <v>2101</v>
      </c>
    </row>
    <row r="46" spans="1:92" ht="12.75">
      <c r="A46" s="103"/>
      <c r="B46" s="103"/>
      <c r="C46" s="2" t="s">
        <v>202</v>
      </c>
      <c r="D46" s="80">
        <f>D44+D45</f>
        <v>487894</v>
      </c>
      <c r="E46" s="5"/>
      <c r="F46" s="603">
        <f>(D49*D42)+(D48*D36)</f>
        <v>0.10076495222322882</v>
      </c>
      <c r="G46" s="505"/>
      <c r="H46" s="505"/>
      <c r="I46" s="505"/>
      <c r="J46" s="506"/>
      <c r="K46" s="103"/>
      <c r="L46" s="537">
        <f>IS!E19</f>
        <v>1878</v>
      </c>
      <c r="M46" s="523">
        <f>IS!F19</f>
        <v>-5306</v>
      </c>
      <c r="N46" s="523">
        <f>IS!G19</f>
        <v>-14201</v>
      </c>
      <c r="O46" s="523">
        <f>IS!H19</f>
        <v>-1610.7611833330907</v>
      </c>
      <c r="P46" s="523">
        <f>IS!I19</f>
        <v>59364.233029351788</v>
      </c>
      <c r="Q46" s="523">
        <f>IS!J19</f>
        <v>70119.571549307526</v>
      </c>
      <c r="R46" s="523">
        <f>IS!K19</f>
        <v>85826.802284741323</v>
      </c>
      <c r="S46" s="523">
        <f>IS!L19</f>
        <v>99127.991541520576</v>
      </c>
      <c r="T46">
        <f>S46*(1+2%)</f>
        <v>101110.55137235099</v>
      </c>
      <c r="U46">
        <f t="shared" ref="U46:AO46" si="11">T46*(1+2%)</f>
        <v>103132.76239979801</v>
      </c>
      <c r="V46">
        <f t="shared" si="11"/>
        <v>105195.41764779398</v>
      </c>
      <c r="W46">
        <f t="shared" si="11"/>
        <v>107299.32600074986</v>
      </c>
      <c r="X46">
        <f t="shared" si="11"/>
        <v>109445.31252076486</v>
      </c>
      <c r="Y46">
        <f t="shared" si="11"/>
        <v>111634.21877118015</v>
      </c>
      <c r="Z46">
        <f t="shared" si="11"/>
        <v>113866.90314660376</v>
      </c>
      <c r="AA46">
        <f t="shared" si="11"/>
        <v>116144.24120953583</v>
      </c>
      <c r="AB46">
        <f t="shared" si="11"/>
        <v>118467.12603372656</v>
      </c>
      <c r="AC46">
        <f t="shared" si="11"/>
        <v>120836.46855440109</v>
      </c>
      <c r="AD46">
        <f t="shared" si="11"/>
        <v>123253.1979254891</v>
      </c>
      <c r="AE46">
        <f t="shared" si="11"/>
        <v>125718.26188399889</v>
      </c>
      <c r="AF46">
        <f t="shared" si="11"/>
        <v>128232.62712167886</v>
      </c>
      <c r="AG46">
        <f t="shared" si="11"/>
        <v>130797.27966411244</v>
      </c>
      <c r="AH46">
        <f t="shared" si="11"/>
        <v>133413.22525739469</v>
      </c>
      <c r="AI46">
        <f t="shared" si="11"/>
        <v>136081.48976254259</v>
      </c>
      <c r="AJ46">
        <f t="shared" si="11"/>
        <v>138803.11955779346</v>
      </c>
      <c r="AK46">
        <f t="shared" si="11"/>
        <v>141579.18194894932</v>
      </c>
      <c r="AL46">
        <f t="shared" si="11"/>
        <v>144410.7655879283</v>
      </c>
      <c r="AM46">
        <f t="shared" si="11"/>
        <v>147298.98089968687</v>
      </c>
      <c r="AN46">
        <f t="shared" si="11"/>
        <v>150244.96051768059</v>
      </c>
      <c r="AO46">
        <f t="shared" si="11"/>
        <v>153249.85972803421</v>
      </c>
      <c r="AP46">
        <f>AO46*(1+1%)</f>
        <v>154782.35832531456</v>
      </c>
      <c r="AQ46">
        <f t="shared" ref="AQ46:BI46" si="12">AP46*(1+1%)</f>
        <v>156330.1819085677</v>
      </c>
      <c r="AR46">
        <f t="shared" si="12"/>
        <v>157893.48372765337</v>
      </c>
      <c r="AS46">
        <f t="shared" si="12"/>
        <v>159472.41856492989</v>
      </c>
      <c r="AT46">
        <f t="shared" si="12"/>
        <v>161067.14275057919</v>
      </c>
      <c r="AU46">
        <f t="shared" si="12"/>
        <v>162677.81417808498</v>
      </c>
      <c r="AV46">
        <f t="shared" si="12"/>
        <v>164304.59231986583</v>
      </c>
      <c r="AW46">
        <f t="shared" si="12"/>
        <v>165947.63824306449</v>
      </c>
      <c r="AX46">
        <f t="shared" si="12"/>
        <v>167607.11462549513</v>
      </c>
      <c r="AY46">
        <f t="shared" si="12"/>
        <v>169283.18577175008</v>
      </c>
      <c r="AZ46">
        <f t="shared" si="12"/>
        <v>170976.01762946759</v>
      </c>
      <c r="BA46">
        <f t="shared" si="12"/>
        <v>172685.77780576228</v>
      </c>
      <c r="BB46">
        <f t="shared" si="12"/>
        <v>174412.63558381991</v>
      </c>
      <c r="BC46">
        <f t="shared" si="12"/>
        <v>176156.76193965811</v>
      </c>
      <c r="BD46">
        <f t="shared" si="12"/>
        <v>177918.32955905469</v>
      </c>
      <c r="BE46">
        <f t="shared" si="12"/>
        <v>179697.51285464523</v>
      </c>
      <c r="BF46">
        <f t="shared" si="12"/>
        <v>181494.48798319168</v>
      </c>
      <c r="BG46">
        <f t="shared" si="12"/>
        <v>183309.4328630236</v>
      </c>
      <c r="BH46">
        <f t="shared" si="12"/>
        <v>185142.52719165385</v>
      </c>
      <c r="BI46">
        <f t="shared" si="12"/>
        <v>186993.9524635704</v>
      </c>
      <c r="BJ46">
        <f>BI46*(1-2%)</f>
        <v>183254.073414299</v>
      </c>
      <c r="BK46">
        <f t="shared" ref="BK46:CN46" si="13">BJ46*(1-2%)</f>
        <v>179588.991946013</v>
      </c>
      <c r="BL46">
        <f t="shared" si="13"/>
        <v>175997.21210709275</v>
      </c>
      <c r="BM46">
        <f t="shared" si="13"/>
        <v>172477.2678649509</v>
      </c>
      <c r="BN46">
        <f t="shared" si="13"/>
        <v>169027.7225076519</v>
      </c>
      <c r="BO46">
        <f t="shared" si="13"/>
        <v>165647.16805749884</v>
      </c>
      <c r="BP46">
        <f t="shared" si="13"/>
        <v>162334.22469634886</v>
      </c>
      <c r="BQ46">
        <f t="shared" si="13"/>
        <v>159087.54020242186</v>
      </c>
      <c r="BR46">
        <f t="shared" si="13"/>
        <v>155905.78939837342</v>
      </c>
      <c r="BS46">
        <f t="shared" si="13"/>
        <v>152787.67361040597</v>
      </c>
      <c r="BT46">
        <f t="shared" si="13"/>
        <v>149731.92013819783</v>
      </c>
      <c r="BU46">
        <f t="shared" si="13"/>
        <v>146737.28173543388</v>
      </c>
      <c r="BV46">
        <f t="shared" si="13"/>
        <v>143802.53610072521</v>
      </c>
      <c r="BW46">
        <f t="shared" si="13"/>
        <v>140926.4853787107</v>
      </c>
      <c r="BX46">
        <f t="shared" si="13"/>
        <v>138107.95567113647</v>
      </c>
      <c r="BY46">
        <f t="shared" si="13"/>
        <v>135345.79655771374</v>
      </c>
      <c r="BZ46">
        <f t="shared" si="13"/>
        <v>132638.88062655946</v>
      </c>
      <c r="CA46">
        <f t="shared" si="13"/>
        <v>129986.10301402827</v>
      </c>
      <c r="CB46">
        <f t="shared" si="13"/>
        <v>127386.38095374771</v>
      </c>
      <c r="CC46">
        <f t="shared" si="13"/>
        <v>124838.65333467275</v>
      </c>
      <c r="CD46">
        <f t="shared" si="13"/>
        <v>122341.8802679793</v>
      </c>
      <c r="CE46">
        <f t="shared" si="13"/>
        <v>119895.04266261971</v>
      </c>
      <c r="CF46">
        <f t="shared" si="13"/>
        <v>117497.14180936731</v>
      </c>
      <c r="CG46">
        <f t="shared" si="13"/>
        <v>115147.19897317997</v>
      </c>
      <c r="CH46">
        <f t="shared" si="13"/>
        <v>112844.25499371637</v>
      </c>
      <c r="CI46">
        <f t="shared" si="13"/>
        <v>110587.36989384204</v>
      </c>
      <c r="CJ46">
        <f t="shared" si="13"/>
        <v>108375.6224959652</v>
      </c>
      <c r="CK46">
        <f t="shared" si="13"/>
        <v>106208.1100460459</v>
      </c>
      <c r="CL46">
        <f t="shared" si="13"/>
        <v>104083.94784512497</v>
      </c>
      <c r="CM46">
        <f t="shared" si="13"/>
        <v>102002.26888822248</v>
      </c>
      <c r="CN46">
        <f t="shared" si="13"/>
        <v>99962.223510458018</v>
      </c>
    </row>
    <row r="47" spans="1:92" ht="12.75">
      <c r="A47" s="103"/>
      <c r="B47" s="103"/>
      <c r="C47" s="33"/>
      <c r="D47" s="5"/>
      <c r="E47" s="5"/>
      <c r="F47" s="92">
        <f>F46</f>
        <v>0.10076495222322882</v>
      </c>
      <c r="G47" s="5"/>
      <c r="H47" s="5"/>
      <c r="I47" s="5"/>
      <c r="J47" s="34"/>
      <c r="K47" s="103"/>
      <c r="L47" s="538">
        <f>M46/L46-1</f>
        <v>-3.8253461128860491</v>
      </c>
      <c r="M47" s="194">
        <f t="shared" ref="M47:Q47" si="14">N46/M46-1</f>
        <v>1.6764040708631738</v>
      </c>
      <c r="N47" s="194">
        <f t="shared" si="14"/>
        <v>-0.8865741015891071</v>
      </c>
      <c r="O47" s="194">
        <f t="shared" si="14"/>
        <v>-37.85477005753981</v>
      </c>
      <c r="P47" s="194">
        <f t="shared" si="14"/>
        <v>0.18117539756031076</v>
      </c>
      <c r="Q47" s="194">
        <f t="shared" si="14"/>
        <v>0.22400637066626405</v>
      </c>
      <c r="R47" s="194">
        <f t="shared" ref="R47" si="15">S46/R46-1</f>
        <v>0.15497710391971564</v>
      </c>
      <c r="S47" s="194">
        <f t="shared" ref="S47" si="16">T46/S46-1</f>
        <v>2.0000000000000018E-2</v>
      </c>
      <c r="T47" s="194">
        <f t="shared" ref="T47" si="17">U46/T46-1</f>
        <v>2.0000000000000018E-2</v>
      </c>
      <c r="U47" s="194">
        <f t="shared" ref="U47" si="18">V46/U46-1</f>
        <v>2.0000000000000018E-2</v>
      </c>
      <c r="V47" s="194">
        <f t="shared" ref="V47" si="19">W46/V46-1</f>
        <v>2.0000000000000018E-2</v>
      </c>
      <c r="W47" s="194">
        <f t="shared" ref="W47" si="20">X46/W46-1</f>
        <v>2.0000000000000018E-2</v>
      </c>
      <c r="X47" s="194">
        <f t="shared" ref="X47" si="21">Y46/X46-1</f>
        <v>2.0000000000000018E-2</v>
      </c>
      <c r="Y47" s="194">
        <f t="shared" ref="Y47" si="22">Z46/Y46-1</f>
        <v>2.0000000000000018E-2</v>
      </c>
      <c r="Z47" s="194">
        <f t="shared" ref="Z47" si="23">AA46/Z46-1</f>
        <v>2.0000000000000018E-2</v>
      </c>
      <c r="AA47" s="194">
        <f t="shared" ref="AA47" si="24">AB46/AA46-1</f>
        <v>2.0000000000000018E-2</v>
      </c>
      <c r="AB47" s="194">
        <f t="shared" ref="AB47" si="25">AC46/AB46-1</f>
        <v>2.0000000000000018E-2</v>
      </c>
      <c r="AC47" s="194">
        <f t="shared" ref="AC47" si="26">AD46/AC46-1</f>
        <v>2.0000000000000018E-2</v>
      </c>
      <c r="AD47" s="194">
        <f t="shared" ref="AD47" si="27">AE46/AD46-1</f>
        <v>2.0000000000000018E-2</v>
      </c>
      <c r="AE47" s="194">
        <f t="shared" ref="AE47" si="28">AF46/AE46-1</f>
        <v>2.0000000000000018E-2</v>
      </c>
      <c r="AF47" s="194">
        <f t="shared" ref="AF47" si="29">AG46/AF46-1</f>
        <v>2.0000000000000018E-2</v>
      </c>
      <c r="AG47" s="194">
        <f t="shared" ref="AG47" si="30">AH46/AG46-1</f>
        <v>2.0000000000000018E-2</v>
      </c>
      <c r="AH47" s="194">
        <f t="shared" ref="AH47" si="31">AI46/AH46-1</f>
        <v>2.0000000000000018E-2</v>
      </c>
      <c r="AI47" s="194">
        <f t="shared" ref="AI47" si="32">AJ46/AI46-1</f>
        <v>2.0000000000000018E-2</v>
      </c>
      <c r="AJ47" s="194">
        <f t="shared" ref="AJ47" si="33">AK46/AJ46-1</f>
        <v>2.0000000000000018E-2</v>
      </c>
      <c r="AK47" s="194">
        <f t="shared" ref="AK47" si="34">AL46/AK46-1</f>
        <v>2.0000000000000018E-2</v>
      </c>
      <c r="AL47" s="194">
        <f t="shared" ref="AL47" si="35">AM46/AL46-1</f>
        <v>2.0000000000000018E-2</v>
      </c>
      <c r="AM47" s="194">
        <f t="shared" ref="AM47" si="36">AN46/AM46-1</f>
        <v>2.0000000000000018E-2</v>
      </c>
      <c r="AN47" s="194">
        <f t="shared" ref="AN47" si="37">AO46/AN46-1</f>
        <v>2.0000000000000018E-2</v>
      </c>
      <c r="AO47" s="194">
        <f t="shared" ref="AO47" si="38">AP46/AO46-1</f>
        <v>1.0000000000000009E-2</v>
      </c>
      <c r="AP47" s="194">
        <f t="shared" ref="AP47" si="39">AQ46/AP46-1</f>
        <v>1.0000000000000009E-2</v>
      </c>
      <c r="AQ47" s="194">
        <f t="shared" ref="AQ47" si="40">AR46/AQ46-1</f>
        <v>1.0000000000000009E-2</v>
      </c>
      <c r="AR47" s="194">
        <f t="shared" ref="AR47" si="41">AS46/AR46-1</f>
        <v>1.0000000000000009E-2</v>
      </c>
      <c r="AS47" s="194">
        <f t="shared" ref="AS47" si="42">AT46/AS46-1</f>
        <v>1.0000000000000009E-2</v>
      </c>
      <c r="AT47" s="194">
        <f t="shared" ref="AT47" si="43">AU46/AT46-1</f>
        <v>1.0000000000000009E-2</v>
      </c>
      <c r="AU47" s="194">
        <f t="shared" ref="AU47" si="44">AV46/AU46-1</f>
        <v>1.0000000000000009E-2</v>
      </c>
      <c r="AV47" s="194">
        <f t="shared" ref="AV47" si="45">AW46/AV46-1</f>
        <v>1.0000000000000009E-2</v>
      </c>
      <c r="AW47" s="194">
        <f t="shared" ref="AW47" si="46">AX46/AW46-1</f>
        <v>1.0000000000000009E-2</v>
      </c>
      <c r="AX47" s="194">
        <f t="shared" ref="AX47" si="47">AY46/AX46-1</f>
        <v>1.0000000000000009E-2</v>
      </c>
      <c r="AY47" s="194">
        <f t="shared" ref="AY47" si="48">AZ46/AY46-1</f>
        <v>1.0000000000000009E-2</v>
      </c>
      <c r="AZ47" s="194">
        <f t="shared" ref="AZ47" si="49">BA46/AZ46-1</f>
        <v>1.0000000000000009E-2</v>
      </c>
      <c r="BA47" s="194">
        <f t="shared" ref="BA47" si="50">BB46/BA46-1</f>
        <v>1.0000000000000009E-2</v>
      </c>
      <c r="BB47" s="194">
        <f t="shared" ref="BB47" si="51">BC46/BB46-1</f>
        <v>1.0000000000000009E-2</v>
      </c>
      <c r="BC47" s="194">
        <f t="shared" ref="BC47" si="52">BD46/BC46-1</f>
        <v>1.0000000000000009E-2</v>
      </c>
      <c r="BD47" s="194">
        <f t="shared" ref="BD47" si="53">BE46/BD46-1</f>
        <v>1.0000000000000009E-2</v>
      </c>
      <c r="BE47" s="194">
        <f t="shared" ref="BE47" si="54">BF46/BE46-1</f>
        <v>1.0000000000000009E-2</v>
      </c>
      <c r="BF47" s="194">
        <f t="shared" ref="BF47" si="55">BG46/BF46-1</f>
        <v>1.0000000000000009E-2</v>
      </c>
      <c r="BG47" s="194">
        <f t="shared" ref="BG47" si="56">BH46/BG46-1</f>
        <v>1.0000000000000009E-2</v>
      </c>
      <c r="BH47" s="194">
        <f t="shared" ref="BH47" si="57">BI46/BH46-1</f>
        <v>1.0000000000000009E-2</v>
      </c>
      <c r="BI47" s="194">
        <f t="shared" ref="BI47" si="58">BJ46/BI46-1</f>
        <v>-2.0000000000000018E-2</v>
      </c>
      <c r="BJ47" s="194">
        <f t="shared" ref="BJ47" si="59">BK46/BJ46-1</f>
        <v>-2.0000000000000018E-2</v>
      </c>
      <c r="BK47" s="194">
        <f t="shared" ref="BK47" si="60">BL46/BK46-1</f>
        <v>-1.9999999999999907E-2</v>
      </c>
      <c r="BL47" s="194">
        <f t="shared" ref="BL47" si="61">BM46/BL46-1</f>
        <v>-2.0000000000000018E-2</v>
      </c>
      <c r="BM47" s="194">
        <f t="shared" ref="BM47" si="62">BN46/BM46-1</f>
        <v>-1.9999999999999907E-2</v>
      </c>
      <c r="BN47" s="194">
        <f t="shared" ref="BN47" si="63">BO46/BN46-1</f>
        <v>-2.0000000000000129E-2</v>
      </c>
      <c r="BO47" s="194">
        <f t="shared" ref="BO47" si="64">BP46/BO46-1</f>
        <v>-2.0000000000000018E-2</v>
      </c>
      <c r="BP47" s="194">
        <f t="shared" ref="BP47" si="65">BQ46/BP46-1</f>
        <v>-2.0000000000000129E-2</v>
      </c>
      <c r="BQ47" s="194">
        <f t="shared" ref="BQ47" si="66">BR46/BQ46-1</f>
        <v>-2.0000000000000018E-2</v>
      </c>
      <c r="BR47" s="194">
        <f t="shared" ref="BR47" si="67">BS46/BR46-1</f>
        <v>-1.9999999999999907E-2</v>
      </c>
      <c r="BS47" s="194">
        <f t="shared" ref="BS47" si="68">BT46/BS46-1</f>
        <v>-2.0000000000000129E-2</v>
      </c>
      <c r="BT47" s="194">
        <f t="shared" ref="BT47" si="69">BU46/BT46-1</f>
        <v>-2.0000000000000018E-2</v>
      </c>
      <c r="BU47" s="194">
        <f t="shared" ref="BU47" si="70">BV46/BU46-1</f>
        <v>-1.9999999999999907E-2</v>
      </c>
      <c r="BV47" s="194">
        <f t="shared" ref="BV47" si="71">BW46/BV46-1</f>
        <v>-2.0000000000000018E-2</v>
      </c>
      <c r="BW47" s="194">
        <f t="shared" ref="BW47" si="72">BX46/BW46-1</f>
        <v>-2.0000000000000129E-2</v>
      </c>
      <c r="BX47" s="194">
        <f t="shared" ref="BX47" si="73">BY46/BX46-1</f>
        <v>-2.0000000000000018E-2</v>
      </c>
      <c r="BY47" s="194">
        <f t="shared" ref="BY47" si="74">BZ46/BY46-1</f>
        <v>-2.0000000000000018E-2</v>
      </c>
      <c r="BZ47" s="194">
        <f t="shared" ref="BZ47" si="75">CA46/BZ46-1</f>
        <v>-2.0000000000000018E-2</v>
      </c>
      <c r="CA47" s="194">
        <f t="shared" ref="CA47" si="76">CB46/CA46-1</f>
        <v>-2.0000000000000018E-2</v>
      </c>
      <c r="CB47" s="194">
        <f t="shared" ref="CB47" si="77">CC46/CB46-1</f>
        <v>-2.0000000000000018E-2</v>
      </c>
      <c r="CC47" s="194">
        <f t="shared" ref="CC47" si="78">CD46/CC46-1</f>
        <v>-2.0000000000000018E-2</v>
      </c>
      <c r="CD47" s="194">
        <f t="shared" ref="CD47" si="79">CE46/CD46-1</f>
        <v>-2.0000000000000018E-2</v>
      </c>
      <c r="CE47" s="194">
        <f t="shared" ref="CE47" si="80">CF46/CE46-1</f>
        <v>-2.0000000000000018E-2</v>
      </c>
      <c r="CF47" s="194">
        <f t="shared" ref="CF47" si="81">CG46/CF46-1</f>
        <v>-2.0000000000000018E-2</v>
      </c>
      <c r="CG47" s="194">
        <f t="shared" ref="CG47" si="82">CH46/CG46-1</f>
        <v>-2.0000000000000018E-2</v>
      </c>
      <c r="CH47" s="194">
        <f t="shared" ref="CH47" si="83">CI46/CH46-1</f>
        <v>-2.0000000000000018E-2</v>
      </c>
      <c r="CI47" s="194">
        <f t="shared" ref="CI47" si="84">CJ46/CI46-1</f>
        <v>-2.0000000000000018E-2</v>
      </c>
      <c r="CJ47" s="194">
        <f t="shared" ref="CJ47" si="85">CK46/CJ46-1</f>
        <v>-2.0000000000000018E-2</v>
      </c>
      <c r="CK47" s="194">
        <f t="shared" ref="CK47" si="86">CL46/CK46-1</f>
        <v>-2.0000000000000018E-2</v>
      </c>
      <c r="CL47" s="194">
        <f t="shared" ref="CL47" si="87">CM46/CL46-1</f>
        <v>-2.0000000000000018E-2</v>
      </c>
      <c r="CM47" s="194">
        <f t="shared" ref="CM47" si="88">CN46/CM46-1</f>
        <v>-2.0000000000000129E-2</v>
      </c>
      <c r="CN47" s="194" t="s">
        <v>325</v>
      </c>
    </row>
    <row r="48" spans="1:92" ht="12.75">
      <c r="A48" s="103"/>
      <c r="B48" s="103"/>
      <c r="C48" s="4" t="s">
        <v>203</v>
      </c>
      <c r="D48" s="38">
        <f>D44/D46</f>
        <v>3.6544823260790255E-2</v>
      </c>
      <c r="E48" s="5"/>
      <c r="F48" s="16" t="s">
        <v>250</v>
      </c>
      <c r="G48" s="5"/>
      <c r="H48" s="16" t="s">
        <v>253</v>
      </c>
      <c r="I48" s="5"/>
      <c r="J48" s="34"/>
      <c r="K48" s="103"/>
      <c r="L48" s="534"/>
    </row>
    <row r="49" spans="1:14" ht="12.75">
      <c r="A49" s="103"/>
      <c r="B49" s="103"/>
      <c r="C49" s="4" t="s">
        <v>204</v>
      </c>
      <c r="D49" s="38">
        <f>D45/D46</f>
        <v>0.96345517673920977</v>
      </c>
      <c r="E49" s="5"/>
      <c r="F49" s="5"/>
      <c r="G49" s="5"/>
      <c r="H49" s="5"/>
      <c r="I49" s="5"/>
      <c r="J49" s="34"/>
      <c r="K49" s="103"/>
      <c r="L49" s="534"/>
      <c r="N49" s="96"/>
    </row>
    <row r="50" spans="1:14" ht="12.75">
      <c r="A50" s="103"/>
      <c r="B50" s="103"/>
      <c r="C50" s="33"/>
      <c r="D50" s="5"/>
      <c r="E50" s="5"/>
      <c r="F50" s="244">
        <f>-D34/D58+1</f>
        <v>0.32087984612545661</v>
      </c>
      <c r="G50" s="94"/>
      <c r="H50" s="92">
        <f>-D34/S74+1</f>
        <v>0.25373134328358204</v>
      </c>
      <c r="I50" s="5"/>
      <c r="J50" s="34"/>
      <c r="K50" s="103"/>
      <c r="L50" s="539">
        <f>NPV(F47,O46:CN46)</f>
        <v>970675.7370932874</v>
      </c>
      <c r="N50" s="267">
        <f>L50-D55</f>
        <v>952845.7370932874</v>
      </c>
    </row>
    <row r="51" spans="1:14" ht="12.75">
      <c r="A51" s="103"/>
      <c r="B51" s="103"/>
      <c r="C51" s="9" t="s">
        <v>184</v>
      </c>
      <c r="D51" s="86">
        <f>F47</f>
        <v>0.10076495222322882</v>
      </c>
      <c r="E51" s="5"/>
      <c r="F51" s="95"/>
      <c r="G51" s="94"/>
      <c r="H51" s="92"/>
      <c r="I51" s="5"/>
      <c r="J51" s="34"/>
      <c r="K51" s="103"/>
      <c r="L51" s="534"/>
      <c r="M51" s="277"/>
      <c r="N51" s="532">
        <f>N50/D57</f>
        <v>12.162331985771564</v>
      </c>
    </row>
    <row r="52" spans="1:14" ht="12.75">
      <c r="A52" s="103"/>
      <c r="B52" s="103"/>
      <c r="C52" s="33"/>
      <c r="D52" s="5"/>
      <c r="E52" s="5"/>
      <c r="F52" s="16" t="s">
        <v>255</v>
      </c>
      <c r="G52" s="5"/>
      <c r="H52" s="16" t="s">
        <v>254</v>
      </c>
      <c r="I52" s="5"/>
      <c r="J52" s="34"/>
      <c r="K52" s="103"/>
      <c r="L52" s="226"/>
      <c r="M52" s="277"/>
    </row>
    <row r="53" spans="1:14" ht="12.75">
      <c r="A53" s="103"/>
      <c r="B53" s="103"/>
      <c r="C53" s="9" t="s">
        <v>205</v>
      </c>
      <c r="D53" s="5"/>
      <c r="E53" s="16" t="s">
        <v>331</v>
      </c>
      <c r="F53" s="5"/>
      <c r="G53" s="5"/>
      <c r="H53" s="5"/>
      <c r="I53" s="5"/>
      <c r="J53" s="34"/>
      <c r="K53" s="103"/>
      <c r="L53" s="103"/>
    </row>
    <row r="54" spans="1:14" ht="12.75">
      <c r="A54" s="103"/>
      <c r="B54" s="103"/>
      <c r="C54" s="4" t="s">
        <v>206</v>
      </c>
      <c r="D54" s="23">
        <f>D24+D31</f>
        <v>709996.17607086489</v>
      </c>
      <c r="E54" s="23">
        <f>SUM(F24,F31)</f>
        <v>742835.84198027221</v>
      </c>
      <c r="F54" s="245">
        <f>-D34/S68+1</f>
        <v>0.23371647509578541</v>
      </c>
      <c r="G54" s="5"/>
      <c r="H54" s="92">
        <f>-D34/S72+1</f>
        <v>0.22178988326848248</v>
      </c>
      <c r="I54" s="5"/>
      <c r="J54" s="34"/>
      <c r="K54" s="103"/>
      <c r="L54" s="103"/>
    </row>
    <row r="55" spans="1:14" ht="12.75">
      <c r="A55" s="103"/>
      <c r="B55" s="103"/>
      <c r="C55" s="4" t="s">
        <v>207</v>
      </c>
      <c r="D55" s="23">
        <f>D44</f>
        <v>17830</v>
      </c>
      <c r="E55" s="23">
        <f>D55</f>
        <v>17830</v>
      </c>
      <c r="F55" s="5"/>
      <c r="G55" s="5"/>
      <c r="H55" s="5"/>
      <c r="I55" s="5"/>
      <c r="J55" s="34"/>
      <c r="K55" s="103"/>
      <c r="L55" s="103"/>
    </row>
    <row r="56" spans="1:14" ht="12.75">
      <c r="A56" s="103"/>
      <c r="B56" s="103"/>
      <c r="C56" s="2" t="s">
        <v>208</v>
      </c>
      <c r="D56" s="80">
        <f>D54-D55</f>
        <v>692166.17607086489</v>
      </c>
      <c r="E56" s="23">
        <f>E54-E55</f>
        <v>725005.84198027221</v>
      </c>
      <c r="F56" s="5"/>
      <c r="G56" s="5"/>
      <c r="H56" s="5"/>
      <c r="I56" s="5"/>
      <c r="J56" s="34"/>
      <c r="K56" s="103"/>
      <c r="L56" s="103"/>
    </row>
    <row r="57" spans="1:14" ht="12.75">
      <c r="A57" s="103"/>
      <c r="B57" s="103"/>
      <c r="C57" s="4" t="s">
        <v>190</v>
      </c>
      <c r="D57" s="23">
        <f>IS!G27</f>
        <v>78344</v>
      </c>
      <c r="E57" s="23">
        <f>D57</f>
        <v>78344</v>
      </c>
      <c r="F57" s="5"/>
      <c r="G57" s="5"/>
      <c r="H57" s="5"/>
      <c r="I57" s="5"/>
      <c r="J57" s="34"/>
      <c r="K57" s="103"/>
      <c r="L57" s="103"/>
    </row>
    <row r="58" spans="1:14" ht="13.5" thickBot="1">
      <c r="A58" s="103"/>
      <c r="B58" s="103"/>
      <c r="C58" s="290" t="s">
        <v>266</v>
      </c>
      <c r="D58" s="287">
        <f>D56/D57</f>
        <v>8.8349608913364754</v>
      </c>
      <c r="E58" s="581">
        <f>E56/E57</f>
        <v>9.2541335900678057</v>
      </c>
      <c r="F58" s="5"/>
      <c r="G58" s="5"/>
      <c r="H58" s="5"/>
      <c r="I58" s="5"/>
      <c r="J58" s="34"/>
      <c r="K58" s="103"/>
      <c r="L58" s="103"/>
    </row>
    <row r="59" spans="1:14" ht="13.5" thickTop="1">
      <c r="A59" s="103"/>
      <c r="B59" s="103"/>
      <c r="C59" s="291" t="s">
        <v>265</v>
      </c>
      <c r="D59" s="288">
        <f>K23</f>
        <v>8.7571629497091887</v>
      </c>
      <c r="E59" s="106"/>
      <c r="F59" s="106"/>
      <c r="G59" s="106"/>
      <c r="H59" s="106"/>
      <c r="I59" s="106"/>
      <c r="J59" s="106"/>
      <c r="K59" s="103"/>
      <c r="L59" s="103"/>
    </row>
    <row r="60" spans="1:14" ht="15.75" customHeight="1">
      <c r="C60" s="291" t="s">
        <v>265</v>
      </c>
      <c r="D60" s="288">
        <f>N23</f>
        <v>8.5295769188708359</v>
      </c>
      <c r="G60" s="270"/>
    </row>
    <row r="61" spans="1:14" ht="15.75" customHeight="1">
      <c r="A61" s="272"/>
      <c r="B61" s="272"/>
      <c r="C61" s="292" t="s">
        <v>271</v>
      </c>
      <c r="D61" s="289">
        <f>L36</f>
        <v>5.6985290406785092</v>
      </c>
      <c r="E61" s="272"/>
      <c r="G61" s="327" t="s">
        <v>267</v>
      </c>
      <c r="I61" s="328" t="s">
        <v>270</v>
      </c>
    </row>
    <row r="62" spans="1:14" ht="15.75" customHeight="1">
      <c r="A62" s="272"/>
      <c r="B62" s="272"/>
      <c r="C62" s="276" t="s">
        <v>268</v>
      </c>
      <c r="D62" s="274"/>
      <c r="E62" s="272"/>
      <c r="F62" s="278">
        <f>$D$54/F11</f>
        <v>-123.93598980111055</v>
      </c>
      <c r="G62" s="323">
        <f>$D$54/G11</f>
        <v>13.093860456054399</v>
      </c>
      <c r="H62" s="278">
        <f>$D$54/H11</f>
        <v>10.821763862790446</v>
      </c>
      <c r="I62" s="325">
        <f>$D$54/I11</f>
        <v>8.324595612625254</v>
      </c>
      <c r="J62" s="278">
        <f>$D$54/J11</f>
        <v>7.2801799937739951</v>
      </c>
    </row>
    <row r="63" spans="1:14" ht="15.75" customHeight="1">
      <c r="A63" s="272"/>
      <c r="B63" s="272"/>
      <c r="C63" s="276" t="s">
        <v>152</v>
      </c>
      <c r="D63" s="274"/>
      <c r="E63" s="272"/>
      <c r="F63" s="278">
        <f>$D$54/F9</f>
        <v>-172.06517489201966</v>
      </c>
      <c r="G63" s="324">
        <f>$D$54/G9</f>
        <v>12.707281760530785</v>
      </c>
      <c r="H63" s="278">
        <f>$D$54/H9</f>
        <v>10.586043238108134</v>
      </c>
      <c r="I63" s="326">
        <f>$D$54/I9</f>
        <v>8.1725559977610764</v>
      </c>
      <c r="J63" s="278">
        <f>$D$54/J9</f>
        <v>7.1696964733249233</v>
      </c>
    </row>
    <row r="64" spans="1:14" ht="15.75" customHeight="1">
      <c r="A64" s="272"/>
      <c r="B64" s="272"/>
      <c r="C64" s="273"/>
      <c r="D64" s="274"/>
      <c r="E64" s="272"/>
      <c r="G64" s="270"/>
    </row>
    <row r="65" spans="2:20" ht="15.75" customHeight="1">
      <c r="C65" s="87"/>
      <c r="D65" s="268"/>
      <c r="F65" s="269"/>
      <c r="G65" s="271"/>
      <c r="H65" s="269"/>
      <c r="I65" s="269"/>
      <c r="J65" s="269"/>
    </row>
    <row r="66" spans="2:20" ht="15.75" customHeight="1">
      <c r="B66" s="227"/>
      <c r="C66" s="228"/>
      <c r="D66" s="228"/>
      <c r="E66" s="228"/>
      <c r="F66" s="228"/>
      <c r="G66" s="228"/>
      <c r="H66" s="229"/>
      <c r="J66" s="227"/>
      <c r="K66" s="228"/>
      <c r="L66" s="228"/>
      <c r="M66" s="228"/>
      <c r="N66" s="228"/>
      <c r="O66" s="228"/>
      <c r="P66" s="228"/>
      <c r="Q66" s="228"/>
      <c r="R66" s="228"/>
      <c r="S66" s="228"/>
      <c r="T66" s="229"/>
    </row>
    <row r="67" spans="2:20" ht="15.75" customHeight="1">
      <c r="B67" s="230"/>
      <c r="C67" s="231"/>
      <c r="D67" s="231"/>
      <c r="E67" s="231"/>
      <c r="F67" s="231"/>
      <c r="G67" s="231"/>
      <c r="H67" s="232"/>
      <c r="J67" s="230"/>
      <c r="K67" s="231"/>
      <c r="L67" s="231"/>
      <c r="M67" s="231"/>
      <c r="N67" s="231"/>
      <c r="O67" s="231"/>
      <c r="P67" s="231"/>
      <c r="Q67" s="231"/>
      <c r="R67" s="231"/>
      <c r="S67" s="231"/>
      <c r="T67" s="232"/>
    </row>
    <row r="68" spans="2:20" ht="15.75" customHeight="1">
      <c r="B68" s="230"/>
      <c r="C68" s="231"/>
      <c r="D68" s="231"/>
      <c r="E68" s="231"/>
      <c r="F68" s="231"/>
      <c r="G68" s="234"/>
      <c r="H68" s="232"/>
      <c r="J68" s="230"/>
      <c r="K68" s="233" t="s">
        <v>217</v>
      </c>
      <c r="L68" s="233"/>
      <c r="M68" s="233"/>
      <c r="N68" s="233" t="s">
        <v>247</v>
      </c>
      <c r="O68" s="233"/>
      <c r="P68" s="231"/>
      <c r="Q68" s="233" t="s">
        <v>248</v>
      </c>
      <c r="R68" s="231"/>
      <c r="S68" s="231">
        <f>AVERAGE(O70:O79)</f>
        <v>7.83</v>
      </c>
      <c r="T68" s="232"/>
    </row>
    <row r="69" spans="2:20" ht="15.75" customHeight="1">
      <c r="B69" s="230"/>
      <c r="C69" s="231"/>
      <c r="D69" s="231"/>
      <c r="E69" s="233" t="s">
        <v>259</v>
      </c>
      <c r="F69" s="231"/>
      <c r="G69" s="231"/>
      <c r="H69" s="232"/>
      <c r="J69" s="230"/>
      <c r="K69" s="234"/>
      <c r="L69" s="231"/>
      <c r="M69" s="231"/>
      <c r="N69" s="234"/>
      <c r="O69" s="231"/>
      <c r="P69" s="231"/>
      <c r="Q69" s="231"/>
      <c r="R69" s="231"/>
      <c r="S69" s="231"/>
      <c r="T69" s="232"/>
    </row>
    <row r="70" spans="2:20" ht="15.75" customHeight="1">
      <c r="B70" s="230"/>
      <c r="C70" s="231"/>
      <c r="D70" s="231"/>
      <c r="E70" s="231"/>
      <c r="F70" s="231"/>
      <c r="G70" s="231"/>
      <c r="H70" s="232"/>
      <c r="J70" s="230"/>
      <c r="K70" s="234" t="s">
        <v>219</v>
      </c>
      <c r="L70" s="235">
        <f>_xll.RtaNORMAL(630750,30000)</f>
        <v>633683.10537867039</v>
      </c>
      <c r="M70" s="231"/>
      <c r="N70" s="236" t="s">
        <v>237</v>
      </c>
      <c r="O70" s="231">
        <v>7.91</v>
      </c>
      <c r="P70" s="231"/>
      <c r="Q70" s="233" t="s">
        <v>249</v>
      </c>
      <c r="R70" s="233"/>
      <c r="S70" s="231">
        <f>_xlfn.STDEV.S(O70:O79)</f>
        <v>0.101871378599574</v>
      </c>
      <c r="T70" s="232"/>
    </row>
    <row r="71" spans="2:20" ht="15.75" customHeight="1">
      <c r="B71" s="230"/>
      <c r="C71" s="231"/>
      <c r="D71" s="231"/>
      <c r="E71" s="231"/>
      <c r="F71" s="231"/>
      <c r="G71" s="231"/>
      <c r="H71" s="232"/>
      <c r="J71" s="230"/>
      <c r="K71" s="236"/>
      <c r="L71" s="235">
        <f>D55</f>
        <v>17830</v>
      </c>
      <c r="M71" s="231"/>
      <c r="N71" s="236" t="s">
        <v>238</v>
      </c>
      <c r="O71" s="231">
        <v>8.0399999999999991</v>
      </c>
      <c r="P71" s="231"/>
      <c r="Q71" s="231"/>
      <c r="R71" s="231"/>
      <c r="S71" s="231"/>
      <c r="T71" s="232"/>
    </row>
    <row r="72" spans="2:20" ht="15.75" customHeight="1">
      <c r="B72" s="230"/>
      <c r="C72" s="231"/>
      <c r="D72" s="231"/>
      <c r="E72" s="234" t="s">
        <v>188</v>
      </c>
      <c r="F72" s="231"/>
      <c r="G72" s="231"/>
      <c r="H72" s="232"/>
      <c r="I72" s="88"/>
      <c r="J72" s="237"/>
      <c r="K72" s="238"/>
      <c r="L72" s="231"/>
      <c r="M72" s="231"/>
      <c r="N72" s="239" t="s">
        <v>239</v>
      </c>
      <c r="O72" s="231">
        <v>7.86</v>
      </c>
      <c r="P72" s="231"/>
      <c r="Q72" s="233" t="s">
        <v>251</v>
      </c>
      <c r="R72" s="231"/>
      <c r="S72" s="231">
        <f>MIN(O70:O79)</f>
        <v>7.71</v>
      </c>
      <c r="T72" s="232"/>
    </row>
    <row r="73" spans="2:20" ht="15.75" customHeight="1">
      <c r="B73" s="230"/>
      <c r="C73" s="246">
        <f>D58</f>
        <v>8.8349608913364754</v>
      </c>
      <c r="D73" s="247">
        <v>0.09</v>
      </c>
      <c r="E73" s="247">
        <v>0.1</v>
      </c>
      <c r="F73" s="247">
        <f>D51</f>
        <v>0.10076495222322882</v>
      </c>
      <c r="G73" s="247">
        <v>0.12</v>
      </c>
      <c r="H73" s="232"/>
      <c r="I73" s="88"/>
      <c r="J73" s="237"/>
      <c r="K73" s="240" t="s">
        <v>218</v>
      </c>
      <c r="L73" s="235">
        <f>L70-L71</f>
        <v>615853.10537867039</v>
      </c>
      <c r="M73" s="231"/>
      <c r="N73" s="236" t="s">
        <v>240</v>
      </c>
      <c r="O73" s="231">
        <v>7.84</v>
      </c>
      <c r="P73" s="231"/>
      <c r="Q73" s="231"/>
      <c r="R73" s="231"/>
      <c r="S73" s="231"/>
      <c r="T73" s="232"/>
    </row>
    <row r="74" spans="2:20" ht="15.75" customHeight="1">
      <c r="B74" s="230"/>
      <c r="C74" s="248">
        <v>5.0000000000000001E-3</v>
      </c>
      <c r="D74" s="249">
        <f t="dataTable" ref="D74:G78" dt2D="1" dtr="1" r1="F47" r2="D27" ca="1"/>
        <v>8.7784972828232579</v>
      </c>
      <c r="E74" s="250">
        <v>7.6496378145859341</v>
      </c>
      <c r="F74" s="250">
        <v>7.6496378145859341</v>
      </c>
      <c r="G74" s="251">
        <v>5.9943238097651932</v>
      </c>
      <c r="H74" s="232"/>
      <c r="J74" s="237"/>
      <c r="K74" s="231"/>
      <c r="L74" s="231">
        <f>_xll.RtaUNIFORM(70000,85000)</f>
        <v>72740.69107932708</v>
      </c>
      <c r="M74" s="231"/>
      <c r="N74" s="236" t="s">
        <v>241</v>
      </c>
      <c r="O74" s="231">
        <v>7.71</v>
      </c>
      <c r="P74" s="231"/>
      <c r="Q74" s="233" t="s">
        <v>252</v>
      </c>
      <c r="R74" s="231"/>
      <c r="S74" s="231">
        <f>MAX(O70:O79)</f>
        <v>8.0399999999999991</v>
      </c>
      <c r="T74" s="232"/>
    </row>
    <row r="75" spans="2:20" ht="15.75" customHeight="1">
      <c r="B75" s="230"/>
      <c r="C75" s="247">
        <v>0.02</v>
      </c>
      <c r="D75" s="252">
        <v>10.484403536717187</v>
      </c>
      <c r="E75" s="101">
        <v>8.9372758177659843</v>
      </c>
      <c r="F75" s="101">
        <v>8.9372758177659843</v>
      </c>
      <c r="G75" s="253">
        <v>6.7861104830678558</v>
      </c>
      <c r="H75" s="232"/>
      <c r="J75" s="230"/>
      <c r="K75" s="231"/>
      <c r="L75" s="101">
        <f>_xll.RtaRESULT(L73/L74)</f>
        <v>8.4664181249949113</v>
      </c>
      <c r="M75" s="231"/>
      <c r="N75" s="236" t="s">
        <v>242</v>
      </c>
      <c r="O75" s="101">
        <v>7.82</v>
      </c>
      <c r="P75" s="231"/>
      <c r="Q75" s="231"/>
      <c r="R75" s="231"/>
      <c r="S75" s="231"/>
      <c r="T75" s="232"/>
    </row>
    <row r="76" spans="2:20" ht="15.75" customHeight="1">
      <c r="B76" s="230"/>
      <c r="C76" s="247">
        <v>0.03</v>
      </c>
      <c r="D76" s="252">
        <v>12.095537220950339</v>
      </c>
      <c r="E76" s="101">
        <v>10.10228163016698</v>
      </c>
      <c r="F76" s="101">
        <v>10.10228163016698</v>
      </c>
      <c r="G76" s="253">
        <v>7.4605954269923433</v>
      </c>
      <c r="H76" s="232"/>
      <c r="J76" s="230"/>
      <c r="K76" s="231"/>
      <c r="L76" s="231"/>
      <c r="M76" s="231"/>
      <c r="N76" s="236" t="s">
        <v>243</v>
      </c>
      <c r="O76" s="101">
        <v>7.72</v>
      </c>
      <c r="P76" s="231"/>
      <c r="Q76" s="231"/>
      <c r="R76" s="231"/>
      <c r="S76" s="231"/>
      <c r="T76" s="232"/>
    </row>
    <row r="77" spans="2:20" ht="15.75" customHeight="1">
      <c r="B77" s="254" t="s">
        <v>258</v>
      </c>
      <c r="C77" s="247">
        <v>0.05</v>
      </c>
      <c r="D77" s="252">
        <v>17.734505115766382</v>
      </c>
      <c r="E77" s="101">
        <v>13.830300229850174</v>
      </c>
      <c r="F77" s="101">
        <v>13.830300229850174</v>
      </c>
      <c r="G77" s="253">
        <v>9.387695266776598</v>
      </c>
      <c r="H77" s="232"/>
      <c r="J77" s="230"/>
      <c r="K77" s="231"/>
      <c r="L77" s="231"/>
      <c r="M77" s="231"/>
      <c r="N77" s="236" t="s">
        <v>244</v>
      </c>
      <c r="O77" s="101">
        <v>7.74</v>
      </c>
      <c r="P77" s="231"/>
      <c r="Q77" s="231"/>
      <c r="R77" s="231"/>
      <c r="S77" s="231"/>
      <c r="T77" s="232"/>
    </row>
    <row r="78" spans="2:20" ht="15.75" customHeight="1">
      <c r="B78" s="252">
        <f>AVERAGE(D74:G78)</f>
        <v>11.407589264697023</v>
      </c>
      <c r="C78" s="255">
        <v>0.06</v>
      </c>
      <c r="D78" s="256">
        <v>23.373473010582419</v>
      </c>
      <c r="E78" s="257">
        <v>17.092316504572963</v>
      </c>
      <c r="F78" s="257">
        <v>17.092316504572963</v>
      </c>
      <c r="G78" s="258">
        <v>10.833020146614791</v>
      </c>
      <c r="H78" s="232"/>
      <c r="J78" s="230"/>
      <c r="K78" s="231"/>
      <c r="L78" s="231"/>
      <c r="M78" s="231"/>
      <c r="N78" s="236" t="s">
        <v>245</v>
      </c>
      <c r="O78" s="101">
        <v>7.77</v>
      </c>
      <c r="P78" s="231"/>
      <c r="Q78" s="231"/>
      <c r="R78" s="231"/>
      <c r="S78" s="231"/>
      <c r="T78" s="232"/>
    </row>
    <row r="79" spans="2:20" ht="15.75" customHeight="1">
      <c r="B79" s="230"/>
      <c r="C79" s="259"/>
      <c r="D79" s="231"/>
      <c r="E79" s="231"/>
      <c r="F79" s="231"/>
      <c r="G79" s="231"/>
      <c r="H79" s="232"/>
      <c r="J79" s="230"/>
      <c r="K79" s="231"/>
      <c r="L79" s="231"/>
      <c r="M79" s="231"/>
      <c r="N79" s="236" t="s">
        <v>246</v>
      </c>
      <c r="O79" s="101">
        <v>7.89</v>
      </c>
      <c r="P79" s="231"/>
      <c r="Q79" s="231"/>
      <c r="R79" s="231"/>
      <c r="S79" s="231"/>
      <c r="T79" s="232"/>
    </row>
    <row r="80" spans="2:20" ht="15.75" customHeight="1">
      <c r="B80" s="230"/>
      <c r="C80" s="231"/>
      <c r="D80" s="231"/>
      <c r="E80" s="231"/>
      <c r="F80" s="231"/>
      <c r="G80" s="231"/>
      <c r="H80" s="232"/>
      <c r="J80" s="230"/>
      <c r="K80" s="231"/>
      <c r="L80" s="231"/>
      <c r="M80" s="231"/>
      <c r="N80" s="231"/>
      <c r="O80" s="231"/>
      <c r="P80" s="231"/>
      <c r="Q80" s="231"/>
      <c r="R80" s="231"/>
      <c r="S80" s="231"/>
      <c r="T80" s="232"/>
    </row>
    <row r="81" spans="2:20" ht="15.75" customHeight="1">
      <c r="B81" s="241"/>
      <c r="C81" s="242"/>
      <c r="D81" s="242"/>
      <c r="E81" s="242"/>
      <c r="F81" s="242"/>
      <c r="G81" s="242"/>
      <c r="H81" s="243"/>
      <c r="J81" s="241"/>
      <c r="K81" s="242"/>
      <c r="L81" s="242"/>
      <c r="M81" s="242"/>
      <c r="N81" s="242"/>
      <c r="O81" s="242"/>
      <c r="P81" s="242"/>
      <c r="Q81" s="242"/>
      <c r="R81" s="242"/>
      <c r="S81" s="242"/>
      <c r="T81" s="243"/>
    </row>
    <row r="84" spans="2:20" ht="15.75" customHeight="1">
      <c r="B84" s="303"/>
      <c r="C84" s="304"/>
      <c r="D84" s="305"/>
      <c r="E84" s="305"/>
      <c r="F84" s="305"/>
      <c r="G84" s="305"/>
      <c r="H84" s="293"/>
      <c r="J84" s="227"/>
      <c r="K84" s="228"/>
      <c r="L84" s="228"/>
      <c r="M84" s="228"/>
      <c r="N84" s="228"/>
      <c r="O84" s="559" t="s">
        <v>188</v>
      </c>
      <c r="P84" s="228"/>
      <c r="Q84" s="228"/>
      <c r="R84" s="228"/>
      <c r="S84" s="228"/>
      <c r="T84" s="229"/>
    </row>
    <row r="85" spans="2:20" ht="15.75" customHeight="1">
      <c r="B85" s="306"/>
      <c r="C85" s="307"/>
      <c r="D85" s="307"/>
      <c r="E85" s="308" t="s">
        <v>188</v>
      </c>
      <c r="F85" s="307"/>
      <c r="G85" s="307"/>
      <c r="H85" s="295"/>
      <c r="J85" s="230"/>
      <c r="K85" s="231"/>
      <c r="L85" s="231"/>
      <c r="M85" s="231"/>
      <c r="N85" s="231"/>
      <c r="O85" s="231"/>
      <c r="P85" s="231"/>
      <c r="Q85" s="231"/>
      <c r="R85" s="231"/>
      <c r="S85" s="231"/>
      <c r="T85" s="232"/>
    </row>
    <row r="86" spans="2:20" ht="15.75" customHeight="1">
      <c r="B86" s="306"/>
      <c r="C86" s="307"/>
      <c r="D86" s="307"/>
      <c r="E86" s="307"/>
      <c r="F86" s="307"/>
      <c r="G86" s="307"/>
      <c r="H86" s="295"/>
      <c r="J86" s="230"/>
      <c r="K86" s="231"/>
      <c r="L86" s="231"/>
      <c r="M86" s="231"/>
      <c r="N86" s="231"/>
      <c r="O86" s="231"/>
      <c r="P86" s="231"/>
      <c r="Q86" s="231"/>
      <c r="R86" s="231"/>
      <c r="S86" s="231"/>
      <c r="T86" s="232"/>
    </row>
    <row r="87" spans="2:20" ht="15.75" customHeight="1">
      <c r="B87" s="306"/>
      <c r="C87" s="309">
        <f>D61</f>
        <v>5.6985290406785092</v>
      </c>
      <c r="D87" s="310">
        <v>0.09</v>
      </c>
      <c r="E87" s="310">
        <v>0.1</v>
      </c>
      <c r="F87" s="310">
        <f t="shared" ref="F87:G87" si="89">F73</f>
        <v>0.10076495222322882</v>
      </c>
      <c r="G87" s="310">
        <f t="shared" si="89"/>
        <v>0.12</v>
      </c>
      <c r="H87" s="295"/>
      <c r="J87" s="230"/>
      <c r="K87" s="231"/>
      <c r="L87" s="543">
        <f>D58</f>
        <v>8.8349608913364754</v>
      </c>
      <c r="M87" s="544">
        <f>D87</f>
        <v>0.09</v>
      </c>
      <c r="N87" s="544">
        <f t="shared" ref="N87" si="90">E87</f>
        <v>0.1</v>
      </c>
      <c r="O87" s="544">
        <v>0.12</v>
      </c>
      <c r="P87" s="544">
        <v>0.14000000000000001</v>
      </c>
      <c r="Q87" s="544">
        <v>0.16</v>
      </c>
      <c r="R87" s="231"/>
      <c r="S87" s="231"/>
      <c r="T87" s="232"/>
    </row>
    <row r="88" spans="2:20" ht="15.75" customHeight="1">
      <c r="B88" s="306"/>
      <c r="C88" s="311">
        <v>5</v>
      </c>
      <c r="D88" s="316">
        <f t="dataTable" ref="D88:G92" dt2D="1" dtr="1" r1="F47" r2="J63"/>
        <v>3.9051656787808446</v>
      </c>
      <c r="E88" s="304">
        <v>3.9051656787808446</v>
      </c>
      <c r="F88" s="304">
        <v>3.9051656787808446</v>
      </c>
      <c r="G88" s="317">
        <v>3.9051656787808446</v>
      </c>
      <c r="H88" s="295"/>
      <c r="J88" s="254" t="s">
        <v>327</v>
      </c>
      <c r="K88" s="231"/>
      <c r="L88" s="545">
        <f>L89*(1-10%)</f>
        <v>61826.945610596893</v>
      </c>
      <c r="M88" s="546">
        <f t="dataTable" ref="M88:Q92" dt2D="1" dtr="1" r1="F47" r2="D29" ca="1"/>
        <v>8.7656638596288268</v>
      </c>
      <c r="N88" s="547">
        <v>7.500505922217628</v>
      </c>
      <c r="O88" s="547">
        <v>5.7357206266454508</v>
      </c>
      <c r="P88" s="547">
        <v>4.566150177273272</v>
      </c>
      <c r="Q88" s="548">
        <v>3.7364899872910322</v>
      </c>
      <c r="R88" s="231"/>
      <c r="S88" s="231"/>
      <c r="T88" s="232"/>
    </row>
    <row r="89" spans="2:20" ht="15.75" customHeight="1">
      <c r="B89" s="306"/>
      <c r="C89" s="311">
        <f>6</f>
        <v>6</v>
      </c>
      <c r="D89" s="318">
        <v>4.7317160207046856</v>
      </c>
      <c r="E89" s="312">
        <v>4.7317160207046856</v>
      </c>
      <c r="F89" s="312">
        <v>4.7317160207046856</v>
      </c>
      <c r="G89" s="319">
        <v>4.7317160207046856</v>
      </c>
      <c r="H89" s="295"/>
      <c r="J89" s="237"/>
      <c r="K89" s="549"/>
      <c r="L89" s="545">
        <f>L90*(1-10%)</f>
        <v>68696.606233996543</v>
      </c>
      <c r="M89" s="550">
        <v>8.0329379972911585</v>
      </c>
      <c r="N89" s="551">
        <v>6.8879882299049076</v>
      </c>
      <c r="O89" s="551">
        <v>5.2879228457495833</v>
      </c>
      <c r="P89" s="551">
        <v>4.2245905368496004</v>
      </c>
      <c r="Q89" s="552">
        <v>3.4681075648198876</v>
      </c>
      <c r="R89" s="231"/>
      <c r="S89" s="231"/>
      <c r="T89" s="232"/>
    </row>
    <row r="90" spans="2:20" ht="15.75" customHeight="1">
      <c r="B90" s="313" t="s">
        <v>273</v>
      </c>
      <c r="C90" s="311">
        <v>7</v>
      </c>
      <c r="D90" s="318">
        <v>5.5582663626285251</v>
      </c>
      <c r="E90" s="312">
        <v>5.5582663626285251</v>
      </c>
      <c r="F90" s="312">
        <v>5.5582663626285251</v>
      </c>
      <c r="G90" s="319">
        <v>5.5582663626285251</v>
      </c>
      <c r="H90" s="295"/>
      <c r="J90" s="230"/>
      <c r="K90" s="231"/>
      <c r="L90" s="553">
        <f>D29</f>
        <v>76329.562482218374</v>
      </c>
      <c r="M90" s="550">
        <v>8.0329379972911585</v>
      </c>
      <c r="N90" s="554">
        <v>6.8879882299049076</v>
      </c>
      <c r="O90" s="554">
        <v>5.2879228457495833</v>
      </c>
      <c r="P90" s="551">
        <v>4.2245905368496004</v>
      </c>
      <c r="Q90" s="552">
        <v>3.4681075648198876</v>
      </c>
      <c r="R90" s="231"/>
      <c r="S90" s="231"/>
      <c r="T90" s="232"/>
    </row>
    <row r="91" spans="2:20" ht="15.75" customHeight="1">
      <c r="B91" s="318">
        <f>AVERAGE(D88:G92)</f>
        <v>6.8807469097066685</v>
      </c>
      <c r="C91" s="311">
        <v>10</v>
      </c>
      <c r="D91" s="318">
        <v>8.037917388400043</v>
      </c>
      <c r="E91" s="312">
        <v>8.037917388400043</v>
      </c>
      <c r="F91" s="312">
        <v>8.037917388400043</v>
      </c>
      <c r="G91" s="319">
        <v>8.037917388400043</v>
      </c>
      <c r="H91" s="295"/>
      <c r="J91" s="230"/>
      <c r="K91" s="231"/>
      <c r="L91" s="555">
        <f>L90*(1+10%)</f>
        <v>83962.518730440221</v>
      </c>
      <c r="M91" s="550">
        <v>8.6923912733950619</v>
      </c>
      <c r="N91" s="551">
        <v>7.4392541529863578</v>
      </c>
      <c r="O91" s="551">
        <v>5.6909408485558641</v>
      </c>
      <c r="P91" s="551">
        <v>4.531994213230905</v>
      </c>
      <c r="Q91" s="552">
        <v>3.709651745043919</v>
      </c>
      <c r="R91" s="231"/>
      <c r="S91" s="231"/>
      <c r="T91" s="232"/>
    </row>
    <row r="92" spans="2:20" ht="15.75" customHeight="1">
      <c r="B92" s="306"/>
      <c r="C92" s="311">
        <v>15</v>
      </c>
      <c r="D92" s="320">
        <v>12.170669098019243</v>
      </c>
      <c r="E92" s="321">
        <v>12.170669098019243</v>
      </c>
      <c r="F92" s="321">
        <v>12.170669098019243</v>
      </c>
      <c r="G92" s="322">
        <v>12.170669098019243</v>
      </c>
      <c r="H92" s="295"/>
      <c r="J92" s="230"/>
      <c r="K92" s="231"/>
      <c r="L92" s="555">
        <f>L91*(1+10%)</f>
        <v>92358.770603484256</v>
      </c>
      <c r="M92" s="556">
        <v>10.215728341195078</v>
      </c>
      <c r="N92" s="557">
        <v>8.7126784353045057</v>
      </c>
      <c r="O92" s="557">
        <v>6.6219124350383742</v>
      </c>
      <c r="P92" s="557">
        <v>5.2420967056717211</v>
      </c>
      <c r="Q92" s="558">
        <v>4.2676188013614293</v>
      </c>
      <c r="R92" s="231"/>
      <c r="S92" s="231"/>
      <c r="T92" s="232"/>
    </row>
    <row r="93" spans="2:20" ht="15.75" customHeight="1">
      <c r="B93" s="306"/>
      <c r="C93" s="307"/>
      <c r="D93" s="307"/>
      <c r="E93" s="307"/>
      <c r="F93" s="307"/>
      <c r="G93" s="307"/>
      <c r="H93" s="295"/>
      <c r="J93" s="230"/>
      <c r="K93" s="231"/>
      <c r="L93" s="231"/>
      <c r="M93" s="231"/>
      <c r="N93" s="231"/>
      <c r="O93" s="231"/>
      <c r="P93" s="231"/>
      <c r="Q93" s="231"/>
      <c r="R93" s="231"/>
      <c r="S93" s="231"/>
      <c r="T93" s="232"/>
    </row>
    <row r="94" spans="2:20" ht="15.75" customHeight="1">
      <c r="B94" s="306"/>
      <c r="C94" s="307"/>
      <c r="D94" s="307"/>
      <c r="E94" s="307"/>
      <c r="F94" s="307"/>
      <c r="G94" s="307"/>
      <c r="H94" s="295"/>
      <c r="J94" s="230"/>
      <c r="K94" s="231"/>
      <c r="L94" s="231"/>
      <c r="M94" s="231"/>
      <c r="N94" s="231"/>
      <c r="O94" s="231"/>
      <c r="P94" s="231"/>
      <c r="Q94" s="231"/>
      <c r="R94" s="231"/>
      <c r="S94" s="231"/>
      <c r="T94" s="232"/>
    </row>
    <row r="95" spans="2:20" ht="15.75" customHeight="1">
      <c r="B95" s="314"/>
      <c r="C95" s="315"/>
      <c r="D95" s="315"/>
      <c r="E95" s="315"/>
      <c r="F95" s="315"/>
      <c r="G95" s="315"/>
      <c r="H95" s="299"/>
      <c r="J95" s="241"/>
      <c r="K95" s="242"/>
      <c r="L95" s="242"/>
      <c r="M95" s="242"/>
      <c r="N95" s="242"/>
      <c r="O95" s="242"/>
      <c r="P95" s="242"/>
      <c r="Q95" s="242"/>
      <c r="R95" s="242"/>
      <c r="S95" s="242"/>
      <c r="T95" s="243"/>
    </row>
  </sheetData>
  <mergeCells count="1">
    <mergeCell ref="F5:J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GS97"/>
  <sheetViews>
    <sheetView showGridLines="0" topLeftCell="A55" zoomScale="85" zoomScaleNormal="85" workbookViewId="0">
      <selection activeCell="B57" sqref="B57"/>
    </sheetView>
  </sheetViews>
  <sheetFormatPr defaultColWidth="12.7109375" defaultRowHeight="15.75" customHeight="1"/>
  <cols>
    <col min="2" max="2" width="17.42578125" customWidth="1"/>
    <col min="3" max="3" width="33.7109375" customWidth="1"/>
    <col min="4" max="4" width="11.42578125" customWidth="1"/>
    <col min="5" max="6" width="30.28515625" customWidth="1"/>
    <col min="7" max="7" width="22.5703125" bestFit="1" customWidth="1"/>
    <col min="12" max="12" width="20.85546875" bestFit="1" customWidth="1"/>
    <col min="13" max="13" width="12.85546875" bestFit="1" customWidth="1"/>
    <col min="14" max="14" width="13.5703125" bestFit="1" customWidth="1"/>
    <col min="15" max="19" width="12.85546875" bestFit="1" customWidth="1"/>
  </cols>
  <sheetData>
    <row r="1" spans="1:14" ht="12.75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4" ht="12.7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4" ht="12.75">
      <c r="A3" s="103"/>
      <c r="B3" s="103"/>
      <c r="C3" s="43" t="s">
        <v>346</v>
      </c>
      <c r="D3" s="44"/>
      <c r="E3" s="44"/>
      <c r="F3" s="44"/>
      <c r="G3" s="44"/>
      <c r="H3" s="44"/>
      <c r="I3" s="44"/>
      <c r="J3" s="45"/>
      <c r="K3" s="103"/>
      <c r="L3" s="103"/>
    </row>
    <row r="4" spans="1:14" ht="12.75">
      <c r="A4" s="103"/>
      <c r="B4" s="103"/>
      <c r="C4" s="46" t="s">
        <v>209</v>
      </c>
      <c r="D4" s="47"/>
      <c r="E4" s="47"/>
      <c r="F4" s="47"/>
      <c r="G4" s="47"/>
      <c r="H4" s="47"/>
      <c r="I4" s="47"/>
      <c r="J4" s="48"/>
      <c r="K4" s="103"/>
      <c r="L4" s="103"/>
    </row>
    <row r="5" spans="1:14" ht="12.75">
      <c r="A5" s="103"/>
      <c r="B5" s="103"/>
      <c r="C5" s="49"/>
      <c r="D5" s="49"/>
      <c r="E5" s="51" t="s">
        <v>167</v>
      </c>
      <c r="F5" s="598" t="s">
        <v>0</v>
      </c>
      <c r="G5" s="599"/>
      <c r="H5" s="599"/>
      <c r="I5" s="599"/>
      <c r="J5" s="601"/>
      <c r="K5" s="103"/>
      <c r="L5" s="103"/>
    </row>
    <row r="6" spans="1:14" ht="12.75">
      <c r="A6" s="103"/>
      <c r="B6" s="103"/>
      <c r="C6" s="70"/>
      <c r="D6" s="70"/>
      <c r="E6" s="71">
        <v>2023</v>
      </c>
      <c r="F6" s="51">
        <v>2024</v>
      </c>
      <c r="G6" s="51">
        <v>2025</v>
      </c>
      <c r="H6" s="51">
        <v>2026</v>
      </c>
      <c r="I6" s="51">
        <v>2027</v>
      </c>
      <c r="J6" s="52">
        <v>2028</v>
      </c>
      <c r="K6" s="103"/>
      <c r="L6" s="103"/>
    </row>
    <row r="7" spans="1:14" ht="12.75">
      <c r="A7" s="103"/>
      <c r="B7" s="103"/>
      <c r="C7" s="9" t="s">
        <v>168</v>
      </c>
      <c r="D7" s="5"/>
      <c r="E7" s="34"/>
      <c r="F7" s="5"/>
      <c r="G7" s="5"/>
      <c r="H7" s="5"/>
      <c r="I7" s="5"/>
      <c r="J7" s="286" t="s">
        <v>270</v>
      </c>
      <c r="K7" s="103"/>
    </row>
    <row r="8" spans="1:14" ht="12.75">
      <c r="A8" s="103"/>
      <c r="B8" s="103"/>
      <c r="C8" s="72" t="s">
        <v>169</v>
      </c>
      <c r="D8" s="12"/>
      <c r="E8" s="73"/>
      <c r="F8" s="74">
        <v>1</v>
      </c>
      <c r="G8" s="74">
        <v>2</v>
      </c>
      <c r="H8" s="74">
        <v>3</v>
      </c>
      <c r="I8" s="74">
        <v>4</v>
      </c>
      <c r="J8" s="279">
        <v>5</v>
      </c>
      <c r="K8" s="103"/>
      <c r="L8" s="103"/>
    </row>
    <row r="9" spans="1:14" ht="12.75">
      <c r="A9" s="103"/>
      <c r="B9" s="103"/>
      <c r="C9" s="4" t="s">
        <v>31</v>
      </c>
      <c r="D9" s="5"/>
      <c r="E9" s="34"/>
      <c r="F9" s="15">
        <v>-10495.843733333148</v>
      </c>
      <c r="G9" s="592">
        <f>51869</f>
        <v>51869</v>
      </c>
      <c r="H9" s="15">
        <f>G9*(1+$L$11)</f>
        <v>62301.438856827859</v>
      </c>
      <c r="I9" s="15">
        <f>H9*(1+$L$11)</f>
        <v>74832.159548691125</v>
      </c>
      <c r="J9" s="15">
        <f t="shared" ref="J9" si="0">I9*(1+$L$11)</f>
        <v>89883.190588736368</v>
      </c>
      <c r="K9" s="103" t="s">
        <v>332</v>
      </c>
    </row>
    <row r="10" spans="1:14" ht="12.75">
      <c r="A10" s="103"/>
      <c r="B10" s="103"/>
      <c r="C10" s="4" t="s">
        <v>335</v>
      </c>
      <c r="D10" s="5"/>
      <c r="E10" s="34"/>
      <c r="F10" s="586">
        <f>G9/F9-1</f>
        <v>-5.9418609230311059</v>
      </c>
      <c r="G10" s="586">
        <f>H9/G9-1</f>
        <v>0.20113051836025098</v>
      </c>
      <c r="H10" s="586">
        <f>I9/H9-1</f>
        <v>0.20113051836025098</v>
      </c>
      <c r="I10" s="586">
        <f t="shared" ref="I10" si="1">J9/I9-1</f>
        <v>0.20113051836025098</v>
      </c>
      <c r="J10" s="586">
        <v>0</v>
      </c>
      <c r="K10" s="103"/>
      <c r="L10" s="527">
        <f>AVERAGE(G10:I10)</f>
        <v>0.20113051836025098</v>
      </c>
      <c r="M10">
        <f>_xlfn.STDEV.P(G10:I10)</f>
        <v>0</v>
      </c>
    </row>
    <row r="11" spans="1:14" ht="12.75">
      <c r="A11" s="103"/>
      <c r="B11" s="103"/>
      <c r="C11" s="11" t="s">
        <v>170</v>
      </c>
      <c r="D11" s="12"/>
      <c r="E11" s="73"/>
      <c r="F11" s="32">
        <f>'CF(WIP)'!H9</f>
        <v>1602.4116666666669</v>
      </c>
      <c r="G11" s="32">
        <f>'CF(WIP)'!I9</f>
        <v>1649.5806666666613</v>
      </c>
      <c r="H11" s="32">
        <f>'CF(WIP)'!J9</f>
        <v>1460.9046666666836</v>
      </c>
      <c r="I11" s="32">
        <f>'CF(WIP)'!K9</f>
        <v>1586.6886666666724</v>
      </c>
      <c r="J11" s="281">
        <f>'CF(WIP)'!L9</f>
        <v>1502.8326666666908</v>
      </c>
      <c r="K11" s="103"/>
      <c r="L11" s="591">
        <v>0.20113051836025098</v>
      </c>
      <c r="M11" s="593">
        <v>7.7597685206770975E-2</v>
      </c>
      <c r="N11" s="594">
        <f>G9*M11</f>
        <v>4024.9143339900038</v>
      </c>
    </row>
    <row r="12" spans="1:14" ht="12.75">
      <c r="A12" s="103"/>
      <c r="B12" s="103"/>
      <c r="C12" s="9" t="s">
        <v>171</v>
      </c>
      <c r="D12" s="5"/>
      <c r="E12" s="34"/>
      <c r="F12" s="17">
        <f>F9-F11</f>
        <v>-12098.255399999814</v>
      </c>
      <c r="G12" s="17">
        <f>G9-G11</f>
        <v>50219.419333333339</v>
      </c>
      <c r="H12" s="17">
        <f>H9-H11</f>
        <v>60840.534190161176</v>
      </c>
      <c r="I12" s="17">
        <f t="shared" ref="I12:J12" si="2">I9-I11</f>
        <v>73245.470882024456</v>
      </c>
      <c r="J12" s="282">
        <f t="shared" si="2"/>
        <v>88380.35792206967</v>
      </c>
      <c r="K12" s="103"/>
      <c r="L12" s="103"/>
    </row>
    <row r="13" spans="1:14" ht="12.75">
      <c r="A13" s="103"/>
      <c r="B13" s="103"/>
      <c r="C13" s="11" t="s">
        <v>172</v>
      </c>
      <c r="D13" s="12"/>
      <c r="E13" s="73"/>
      <c r="F13" s="32">
        <f>IS!H18</f>
        <v>-3327.1333333333337</v>
      </c>
      <c r="G13" s="32">
        <f>IS!I18</f>
        <v>-4193.7614814814815</v>
      </c>
      <c r="H13" s="32">
        <f>IS!J18</f>
        <v>-4147.6081646090533</v>
      </c>
      <c r="I13" s="32">
        <f>IS!K18</f>
        <v>-487.38530516689502</v>
      </c>
      <c r="J13" s="281">
        <f>IS!L18</f>
        <v>-2128.1286103297261</v>
      </c>
      <c r="K13" s="103"/>
      <c r="L13" s="103"/>
    </row>
    <row r="14" spans="1:14" ht="12.75">
      <c r="A14" s="103"/>
      <c r="B14" s="103"/>
      <c r="C14" s="565" t="s">
        <v>329</v>
      </c>
      <c r="D14" s="566"/>
      <c r="E14" s="567"/>
      <c r="F14" s="568">
        <v>-7980.2837333330845</v>
      </c>
      <c r="G14" s="590">
        <f>_xll.RtaNORMAL(55360,2146.09)</f>
        <v>54945.924879993101</v>
      </c>
      <c r="H14" s="568">
        <f>G14*(1+$L$16)</f>
        <v>64506.323104044903</v>
      </c>
      <c r="I14" s="568">
        <f t="shared" ref="I14:J14" si="3">H14*(1+$L$16)</f>
        <v>75730.197089075911</v>
      </c>
      <c r="J14" s="568">
        <f t="shared" si="3"/>
        <v>88906.985783393087</v>
      </c>
      <c r="K14" s="103" t="s">
        <v>333</v>
      </c>
      <c r="L14" s="103"/>
    </row>
    <row r="15" spans="1:14" ht="12.75">
      <c r="A15" s="103"/>
      <c r="B15" s="103"/>
      <c r="C15" s="582" t="s">
        <v>334</v>
      </c>
      <c r="D15" s="583"/>
      <c r="E15" s="584"/>
      <c r="F15" s="585">
        <f>G14/F14-1</f>
        <v>-7.8852094381666946</v>
      </c>
      <c r="G15" s="587">
        <f t="shared" ref="G15:I15" si="4">H14/G14-1</f>
        <v>0.17399649282330909</v>
      </c>
      <c r="H15" s="585">
        <f t="shared" si="4"/>
        <v>0.17399649282330909</v>
      </c>
      <c r="I15" s="585">
        <f t="shared" si="4"/>
        <v>0.17399649282330909</v>
      </c>
      <c r="J15" s="585">
        <v>0</v>
      </c>
      <c r="K15" s="103"/>
      <c r="L15" s="588">
        <f>AVERAGE(G15:I15)</f>
        <v>0.17399649282330909</v>
      </c>
      <c r="M15" s="211">
        <f>_xlfn.STDEV.P(G15:I15)</f>
        <v>0</v>
      </c>
    </row>
    <row r="16" spans="1:14" ht="12.75">
      <c r="A16" s="103"/>
      <c r="B16" s="103"/>
      <c r="C16" s="9" t="s">
        <v>173</v>
      </c>
      <c r="D16" s="5"/>
      <c r="E16" s="34"/>
      <c r="F16" s="17">
        <f>F12+F13</f>
        <v>-15425.388733333148</v>
      </c>
      <c r="G16" s="17">
        <f>G12+G13</f>
        <v>46025.657851851858</v>
      </c>
      <c r="H16" s="17">
        <f>H12+H13</f>
        <v>56692.926025552122</v>
      </c>
      <c r="I16" s="17">
        <f>I12+I13</f>
        <v>72758.085576857557</v>
      </c>
      <c r="J16" s="282">
        <f>J12+J13</f>
        <v>86252.229311739939</v>
      </c>
      <c r="K16" s="103"/>
      <c r="L16" s="589">
        <v>0.17399649282330909</v>
      </c>
      <c r="M16" s="593">
        <v>3.8766102922778281E-2</v>
      </c>
      <c r="N16">
        <f>G14*M16</f>
        <v>2130.0393790850562</v>
      </c>
    </row>
    <row r="17" spans="1:201" ht="12.75">
      <c r="A17" s="103"/>
      <c r="B17" s="103"/>
      <c r="C17" s="4" t="s">
        <v>174</v>
      </c>
      <c r="D17" s="5"/>
      <c r="E17" s="34"/>
      <c r="F17" s="15">
        <f>F11</f>
        <v>1602.4116666666669</v>
      </c>
      <c r="G17" s="15">
        <f>G11</f>
        <v>1649.5806666666613</v>
      </c>
      <c r="H17" s="15">
        <f>H11</f>
        <v>1460.9046666666836</v>
      </c>
      <c r="I17" s="15">
        <f>I11</f>
        <v>1586.6886666666724</v>
      </c>
      <c r="J17" s="280">
        <f>J11</f>
        <v>1502.8326666666908</v>
      </c>
      <c r="K17" s="103"/>
      <c r="L17" s="103"/>
    </row>
    <row r="18" spans="1:201" ht="12.75">
      <c r="A18" s="103"/>
      <c r="B18" s="103"/>
      <c r="C18" s="4" t="s">
        <v>175</v>
      </c>
      <c r="D18" s="5"/>
      <c r="E18" s="34"/>
      <c r="F18" s="15">
        <f>'CF(WIP)'!H22</f>
        <v>4265.6783333334333</v>
      </c>
      <c r="G18" s="15">
        <f>'CF(WIP)'!I22</f>
        <v>1942.1923333337254</v>
      </c>
      <c r="H18" s="15">
        <f>'CF(WIP)'!J22</f>
        <v>-404.4092166665032</v>
      </c>
      <c r="I18" s="15">
        <f>'CF(WIP)'!K22</f>
        <v>-2459.0162450593543</v>
      </c>
      <c r="J18" s="280">
        <f>'CF(WIP)'!L22</f>
        <v>-4809.7392869458236</v>
      </c>
      <c r="K18" s="103"/>
      <c r="L18" s="103"/>
    </row>
    <row r="19" spans="1:201" ht="12.75">
      <c r="A19" s="103"/>
      <c r="B19" s="103"/>
      <c r="C19" s="11" t="s">
        <v>176</v>
      </c>
      <c r="D19" s="12"/>
      <c r="E19" s="73"/>
      <c r="F19" s="32">
        <f>'CF(WIP)'!H26</f>
        <v>-19726.333333333489</v>
      </c>
      <c r="G19" s="32">
        <f>'CF(WIP)'!I26</f>
        <v>-23671.600000000184</v>
      </c>
      <c r="H19" s="32">
        <f>'CF(WIP)'!J26</f>
        <v>-21304.440000000166</v>
      </c>
      <c r="I19" s="32">
        <f>'CF(WIP)'!K26</f>
        <v>-19173.996000000148</v>
      </c>
      <c r="J19" s="281">
        <f>'CF(WIP)'!L26</f>
        <v>-17256.596400000133</v>
      </c>
      <c r="K19" s="103"/>
      <c r="L19" s="103"/>
    </row>
    <row r="20" spans="1:201" ht="12.75">
      <c r="A20" s="103"/>
      <c r="B20" s="103"/>
      <c r="C20" s="72" t="s">
        <v>177</v>
      </c>
      <c r="D20" s="275" t="s">
        <v>263</v>
      </c>
      <c r="E20" s="73"/>
      <c r="F20" s="75">
        <f t="shared" ref="F20:J20" si="5">SUM(F16:F19)</f>
        <v>-29283.632066666534</v>
      </c>
      <c r="G20" s="76">
        <f>SUM(G16:G19)</f>
        <v>25945.830851852061</v>
      </c>
      <c r="H20" s="76">
        <f t="shared" si="5"/>
        <v>36444.981475552137</v>
      </c>
      <c r="I20" s="76">
        <f t="shared" si="5"/>
        <v>52711.761998464732</v>
      </c>
      <c r="J20" s="283">
        <f t="shared" si="5"/>
        <v>65688.726291460654</v>
      </c>
      <c r="K20" s="103">
        <f>J20*((1+2%))</f>
        <v>67002.500817289867</v>
      </c>
      <c r="L20" s="103">
        <f t="shared" ref="L20:X20" si="6">K20*((1+2%))</f>
        <v>68342.550833635672</v>
      </c>
      <c r="M20" s="103">
        <f t="shared" si="6"/>
        <v>69709.401850308393</v>
      </c>
      <c r="N20" s="103">
        <f t="shared" si="6"/>
        <v>71103.589887314563</v>
      </c>
      <c r="O20" s="103">
        <f t="shared" si="6"/>
        <v>72525.661685060855</v>
      </c>
      <c r="P20" s="103">
        <f t="shared" si="6"/>
        <v>73976.174918762074</v>
      </c>
      <c r="Q20" s="103">
        <f t="shared" si="6"/>
        <v>75455.698417137319</v>
      </c>
      <c r="R20" s="103">
        <f t="shared" si="6"/>
        <v>76964.812385480065</v>
      </c>
      <c r="S20" s="103">
        <f t="shared" si="6"/>
        <v>78504.108633189666</v>
      </c>
      <c r="T20" s="103">
        <f t="shared" si="6"/>
        <v>80074.190805853461</v>
      </c>
      <c r="U20" s="103">
        <f t="shared" si="6"/>
        <v>81675.674621970538</v>
      </c>
      <c r="V20" s="103">
        <f t="shared" si="6"/>
        <v>83309.188114409946</v>
      </c>
      <c r="W20" s="103">
        <f t="shared" si="6"/>
        <v>84975.371876698147</v>
      </c>
      <c r="X20" s="103">
        <f t="shared" si="6"/>
        <v>86674.879314232108</v>
      </c>
      <c r="Y20" s="103">
        <f>X20*((1+1%))</f>
        <v>87541.628107374432</v>
      </c>
      <c r="Z20" s="103">
        <f t="shared" ref="Z20:CK20" si="7">Y20*((1+1%))</f>
        <v>88417.044388448179</v>
      </c>
      <c r="AA20" s="103">
        <f t="shared" si="7"/>
        <v>89301.214832332655</v>
      </c>
      <c r="AB20" s="103">
        <f t="shared" si="7"/>
        <v>90194.226980655978</v>
      </c>
      <c r="AC20" s="103">
        <f t="shared" si="7"/>
        <v>91096.169250462539</v>
      </c>
      <c r="AD20" s="103">
        <f t="shared" si="7"/>
        <v>92007.130942967167</v>
      </c>
      <c r="AE20" s="103">
        <f t="shared" si="7"/>
        <v>92927.202252396834</v>
      </c>
      <c r="AF20" s="103">
        <f t="shared" si="7"/>
        <v>93856.474274920809</v>
      </c>
      <c r="AG20" s="103">
        <f t="shared" si="7"/>
        <v>94795.039017670017</v>
      </c>
      <c r="AH20" s="103">
        <f t="shared" si="7"/>
        <v>95742.989407846719</v>
      </c>
      <c r="AI20" s="103">
        <f t="shared" si="7"/>
        <v>96700.419301925183</v>
      </c>
      <c r="AJ20" s="103">
        <f t="shared" si="7"/>
        <v>97667.423494944436</v>
      </c>
      <c r="AK20" s="103">
        <f t="shared" si="7"/>
        <v>98644.097729893881</v>
      </c>
      <c r="AL20" s="103">
        <f t="shared" si="7"/>
        <v>99630.538707192827</v>
      </c>
      <c r="AM20" s="103">
        <f t="shared" si="7"/>
        <v>100626.84409426476</v>
      </c>
      <c r="AN20" s="103">
        <f t="shared" si="7"/>
        <v>101633.1125352074</v>
      </c>
      <c r="AO20" s="103">
        <f t="shared" si="7"/>
        <v>102649.44366055948</v>
      </c>
      <c r="AP20" s="103">
        <f t="shared" si="7"/>
        <v>103675.93809716508</v>
      </c>
      <c r="AQ20" s="103">
        <f t="shared" si="7"/>
        <v>104712.69747813673</v>
      </c>
      <c r="AR20" s="103">
        <f t="shared" si="7"/>
        <v>105759.8244529181</v>
      </c>
      <c r="AS20" s="103">
        <f t="shared" si="7"/>
        <v>106817.42269744728</v>
      </c>
      <c r="AT20" s="103">
        <f t="shared" si="7"/>
        <v>107885.59692442176</v>
      </c>
      <c r="AU20" s="103">
        <f t="shared" si="7"/>
        <v>108964.45289366598</v>
      </c>
      <c r="AV20" s="103">
        <f t="shared" si="7"/>
        <v>110054.09742260264</v>
      </c>
      <c r="AW20" s="103">
        <f t="shared" si="7"/>
        <v>111154.63839682867</v>
      </c>
      <c r="AX20" s="103">
        <f t="shared" si="7"/>
        <v>112266.18478079696</v>
      </c>
      <c r="AY20" s="103">
        <f t="shared" si="7"/>
        <v>113388.84662860494</v>
      </c>
      <c r="AZ20" s="103">
        <f t="shared" si="7"/>
        <v>114522.73509489099</v>
      </c>
      <c r="BA20" s="103">
        <f t="shared" si="7"/>
        <v>115667.9624458399</v>
      </c>
      <c r="BB20" s="103">
        <f t="shared" si="7"/>
        <v>116824.6420702983</v>
      </c>
      <c r="BC20" s="103">
        <f t="shared" si="7"/>
        <v>117992.88849100129</v>
      </c>
      <c r="BD20" s="103">
        <f t="shared" si="7"/>
        <v>119172.8173759113</v>
      </c>
      <c r="BE20" s="103">
        <f t="shared" si="7"/>
        <v>120364.54554967041</v>
      </c>
      <c r="BF20" s="103">
        <f t="shared" si="7"/>
        <v>121568.19100516711</v>
      </c>
      <c r="BG20" s="103">
        <f t="shared" si="7"/>
        <v>122783.87291521879</v>
      </c>
      <c r="BH20" s="103">
        <f t="shared" si="7"/>
        <v>124011.71164437098</v>
      </c>
      <c r="BI20" s="103">
        <f t="shared" si="7"/>
        <v>125251.82876081469</v>
      </c>
      <c r="BJ20" s="103">
        <f t="shared" si="7"/>
        <v>126504.34704842285</v>
      </c>
      <c r="BK20" s="103">
        <f t="shared" si="7"/>
        <v>127769.39051890708</v>
      </c>
      <c r="BL20" s="103">
        <f t="shared" si="7"/>
        <v>129047.08442409615</v>
      </c>
      <c r="BM20" s="103">
        <f t="shared" si="7"/>
        <v>130337.55526833711</v>
      </c>
      <c r="BN20" s="103">
        <f t="shared" si="7"/>
        <v>131640.93082102048</v>
      </c>
      <c r="BO20" s="103">
        <f t="shared" si="7"/>
        <v>132957.3401292307</v>
      </c>
      <c r="BP20" s="103">
        <f t="shared" si="7"/>
        <v>134286.91353052302</v>
      </c>
      <c r="BQ20" s="103">
        <f t="shared" si="7"/>
        <v>135629.78266582824</v>
      </c>
      <c r="BR20" s="103">
        <f t="shared" si="7"/>
        <v>136986.08049248654</v>
      </c>
      <c r="BS20" s="103">
        <f t="shared" si="7"/>
        <v>138355.94129741139</v>
      </c>
      <c r="BT20" s="103">
        <f t="shared" si="7"/>
        <v>139739.5007103855</v>
      </c>
      <c r="BU20" s="103">
        <f t="shared" si="7"/>
        <v>141136.89571748936</v>
      </c>
      <c r="BV20" s="103">
        <f t="shared" si="7"/>
        <v>142548.26467466424</v>
      </c>
      <c r="BW20" s="103">
        <f t="shared" si="7"/>
        <v>143973.74732141089</v>
      </c>
      <c r="BX20" s="103">
        <f t="shared" si="7"/>
        <v>145413.48479462499</v>
      </c>
      <c r="BY20" s="103">
        <f t="shared" si="7"/>
        <v>146867.61964257126</v>
      </c>
      <c r="BZ20" s="103">
        <f t="shared" si="7"/>
        <v>148336.29583899697</v>
      </c>
      <c r="CA20" s="103">
        <f t="shared" si="7"/>
        <v>149819.65879738695</v>
      </c>
      <c r="CB20" s="103">
        <f t="shared" si="7"/>
        <v>151317.8553853608</v>
      </c>
      <c r="CC20" s="103">
        <f t="shared" si="7"/>
        <v>152831.03393921442</v>
      </c>
      <c r="CD20" s="103">
        <f t="shared" si="7"/>
        <v>154359.34427860656</v>
      </c>
      <c r="CE20" s="103">
        <f t="shared" si="7"/>
        <v>155902.93772139263</v>
      </c>
      <c r="CF20" s="103">
        <f t="shared" si="7"/>
        <v>157461.96709860658</v>
      </c>
      <c r="CG20" s="103">
        <f t="shared" si="7"/>
        <v>159036.58676959266</v>
      </c>
      <c r="CH20" s="103">
        <f t="shared" si="7"/>
        <v>160626.95263728857</v>
      </c>
      <c r="CI20" s="103">
        <f t="shared" si="7"/>
        <v>162233.22216366147</v>
      </c>
      <c r="CJ20" s="103">
        <f t="shared" si="7"/>
        <v>163855.55438529808</v>
      </c>
      <c r="CK20" s="103">
        <f t="shared" si="7"/>
        <v>165494.10992915105</v>
      </c>
      <c r="CL20" s="103">
        <f t="shared" ref="CL20:EW20" si="8">CK20*((1+1%))</f>
        <v>167149.05102844257</v>
      </c>
      <c r="CM20" s="103">
        <f t="shared" si="8"/>
        <v>168820.541538727</v>
      </c>
      <c r="CN20" s="103">
        <f t="shared" si="8"/>
        <v>170508.74695411426</v>
      </c>
      <c r="CO20" s="103">
        <f t="shared" si="8"/>
        <v>172213.83442365541</v>
      </c>
      <c r="CP20" s="103">
        <f t="shared" si="8"/>
        <v>173935.97276789197</v>
      </c>
      <c r="CQ20" s="103">
        <f t="shared" si="8"/>
        <v>175675.33249557088</v>
      </c>
      <c r="CR20" s="103">
        <f t="shared" si="8"/>
        <v>177432.08582052658</v>
      </c>
      <c r="CS20" s="103">
        <f t="shared" si="8"/>
        <v>179206.40667873184</v>
      </c>
      <c r="CT20" s="103">
        <f t="shared" si="8"/>
        <v>180998.47074551915</v>
      </c>
      <c r="CU20" s="103">
        <f t="shared" si="8"/>
        <v>182808.45545297433</v>
      </c>
      <c r="CV20" s="103">
        <f t="shared" si="8"/>
        <v>184636.54000750408</v>
      </c>
      <c r="CW20" s="103">
        <f t="shared" si="8"/>
        <v>186482.90540757912</v>
      </c>
      <c r="CX20" s="103">
        <f t="shared" si="8"/>
        <v>188347.73446165491</v>
      </c>
      <c r="CY20" s="103">
        <f t="shared" si="8"/>
        <v>190231.21180627146</v>
      </c>
      <c r="CZ20" s="103">
        <f t="shared" si="8"/>
        <v>192133.52392433418</v>
      </c>
      <c r="DA20" s="103">
        <f t="shared" si="8"/>
        <v>194054.85916357752</v>
      </c>
      <c r="DB20" s="103">
        <f t="shared" si="8"/>
        <v>195995.40775521329</v>
      </c>
      <c r="DC20" s="103">
        <f t="shared" si="8"/>
        <v>197955.36183276543</v>
      </c>
      <c r="DD20" s="103">
        <f t="shared" si="8"/>
        <v>199934.91545109308</v>
      </c>
      <c r="DE20" s="103">
        <f t="shared" si="8"/>
        <v>201934.26460560402</v>
      </c>
      <c r="DF20" s="103">
        <f t="shared" si="8"/>
        <v>203953.60725166005</v>
      </c>
      <c r="DG20" s="103">
        <f t="shared" si="8"/>
        <v>205993.14332417666</v>
      </c>
      <c r="DH20" s="103">
        <f t="shared" si="8"/>
        <v>208053.07475741842</v>
      </c>
      <c r="DI20" s="103">
        <f t="shared" si="8"/>
        <v>210133.60550499259</v>
      </c>
      <c r="DJ20" s="103">
        <f t="shared" si="8"/>
        <v>212234.94156004253</v>
      </c>
      <c r="DK20" s="103">
        <f t="shared" si="8"/>
        <v>214357.29097564294</v>
      </c>
      <c r="DL20" s="103">
        <f t="shared" si="8"/>
        <v>216500.86388539936</v>
      </c>
      <c r="DM20" s="103">
        <f t="shared" si="8"/>
        <v>218665.87252425335</v>
      </c>
      <c r="DN20" s="103">
        <f t="shared" si="8"/>
        <v>220852.53124949589</v>
      </c>
      <c r="DO20" s="103">
        <f t="shared" si="8"/>
        <v>223061.05656199084</v>
      </c>
      <c r="DP20" s="103">
        <f t="shared" si="8"/>
        <v>225291.66712761077</v>
      </c>
      <c r="DQ20" s="103">
        <f t="shared" si="8"/>
        <v>227544.58379888689</v>
      </c>
      <c r="DR20" s="103">
        <f t="shared" si="8"/>
        <v>229820.02963687576</v>
      </c>
      <c r="DS20" s="103">
        <f t="shared" si="8"/>
        <v>232118.22993324453</v>
      </c>
      <c r="DT20" s="103">
        <f t="shared" si="8"/>
        <v>234439.41223257699</v>
      </c>
      <c r="DU20" s="103">
        <f t="shared" si="8"/>
        <v>236783.80635490277</v>
      </c>
      <c r="DV20" s="103">
        <f t="shared" si="8"/>
        <v>239151.64441845179</v>
      </c>
      <c r="DW20" s="103">
        <f t="shared" si="8"/>
        <v>241543.16086263632</v>
      </c>
      <c r="DX20" s="103">
        <f t="shared" si="8"/>
        <v>243958.59247126267</v>
      </c>
      <c r="DY20" s="103">
        <f t="shared" si="8"/>
        <v>246398.17839597529</v>
      </c>
      <c r="DZ20" s="103">
        <f t="shared" si="8"/>
        <v>248862.16017993505</v>
      </c>
      <c r="EA20" s="103">
        <f t="shared" si="8"/>
        <v>251350.7817817344</v>
      </c>
      <c r="EB20" s="103">
        <f t="shared" si="8"/>
        <v>253864.28959955176</v>
      </c>
      <c r="EC20" s="103">
        <f t="shared" si="8"/>
        <v>256402.93249554728</v>
      </c>
      <c r="ED20" s="103">
        <f t="shared" si="8"/>
        <v>258966.96182050277</v>
      </c>
      <c r="EE20" s="103">
        <f t="shared" si="8"/>
        <v>261556.63143870779</v>
      </c>
      <c r="EF20" s="103">
        <f t="shared" si="8"/>
        <v>264172.19775309489</v>
      </c>
      <c r="EG20" s="103">
        <f t="shared" si="8"/>
        <v>266813.91973062587</v>
      </c>
      <c r="EH20" s="103">
        <f t="shared" si="8"/>
        <v>269482.05892793211</v>
      </c>
      <c r="EI20" s="103">
        <f t="shared" si="8"/>
        <v>272176.87951721146</v>
      </c>
      <c r="EJ20" s="103">
        <f t="shared" si="8"/>
        <v>274898.64831238356</v>
      </c>
      <c r="EK20" s="103">
        <f t="shared" si="8"/>
        <v>277647.63479550742</v>
      </c>
      <c r="EL20" s="103">
        <f t="shared" si="8"/>
        <v>280424.11114346248</v>
      </c>
      <c r="EM20" s="103">
        <f t="shared" si="8"/>
        <v>283228.35225489712</v>
      </c>
      <c r="EN20" s="103">
        <f t="shared" si="8"/>
        <v>286060.63577744609</v>
      </c>
      <c r="EO20" s="103">
        <f t="shared" si="8"/>
        <v>288921.24213522056</v>
      </c>
      <c r="EP20" s="103">
        <f t="shared" si="8"/>
        <v>291810.45455657277</v>
      </c>
      <c r="EQ20" s="103">
        <f t="shared" si="8"/>
        <v>294728.5591021385</v>
      </c>
      <c r="ER20" s="103">
        <f t="shared" si="8"/>
        <v>297675.84469315992</v>
      </c>
      <c r="ES20" s="103">
        <f t="shared" si="8"/>
        <v>300652.60314009152</v>
      </c>
      <c r="ET20" s="103">
        <f t="shared" si="8"/>
        <v>303659.12917149242</v>
      </c>
      <c r="EU20" s="103">
        <f t="shared" si="8"/>
        <v>306695.72046320734</v>
      </c>
      <c r="EV20" s="103">
        <f t="shared" si="8"/>
        <v>309762.67766783939</v>
      </c>
      <c r="EW20" s="103">
        <f t="shared" si="8"/>
        <v>312860.30444451777</v>
      </c>
      <c r="EX20" s="103">
        <f t="shared" ref="EX20:GS20" si="9">EW20*((1+1%))</f>
        <v>315988.90748896293</v>
      </c>
      <c r="EY20" s="103">
        <f t="shared" si="9"/>
        <v>319148.79656385258</v>
      </c>
      <c r="EZ20" s="103">
        <f t="shared" si="9"/>
        <v>322340.28452949109</v>
      </c>
      <c r="FA20" s="103">
        <f t="shared" si="9"/>
        <v>325563.68737478601</v>
      </c>
      <c r="FB20" s="103">
        <f t="shared" si="9"/>
        <v>328819.32424853387</v>
      </c>
      <c r="FC20" s="103">
        <f t="shared" si="9"/>
        <v>332107.51749101921</v>
      </c>
      <c r="FD20" s="103">
        <f t="shared" si="9"/>
        <v>335428.59266592941</v>
      </c>
      <c r="FE20" s="103">
        <f t="shared" si="9"/>
        <v>338782.87859258871</v>
      </c>
      <c r="FF20" s="103">
        <f t="shared" si="9"/>
        <v>342170.70737851458</v>
      </c>
      <c r="FG20" s="103">
        <f t="shared" si="9"/>
        <v>345592.41445229971</v>
      </c>
      <c r="FH20" s="103">
        <f t="shared" si="9"/>
        <v>349048.33859682269</v>
      </c>
      <c r="FI20" s="103">
        <f t="shared" si="9"/>
        <v>352538.82198279095</v>
      </c>
      <c r="FJ20" s="103">
        <f t="shared" si="9"/>
        <v>356064.21020261885</v>
      </c>
      <c r="FK20" s="103">
        <f t="shared" si="9"/>
        <v>359624.85230464506</v>
      </c>
      <c r="FL20" s="103">
        <f t="shared" si="9"/>
        <v>363221.10082769149</v>
      </c>
      <c r="FM20" s="103">
        <f t="shared" si="9"/>
        <v>366853.3118359684</v>
      </c>
      <c r="FN20" s="103">
        <f t="shared" si="9"/>
        <v>370521.84495432809</v>
      </c>
      <c r="FO20" s="103">
        <f t="shared" si="9"/>
        <v>374227.06340387138</v>
      </c>
      <c r="FP20" s="103">
        <f t="shared" si="9"/>
        <v>377969.3340379101</v>
      </c>
      <c r="FQ20" s="103">
        <f t="shared" si="9"/>
        <v>381749.0273782892</v>
      </c>
      <c r="FR20" s="103">
        <f t="shared" si="9"/>
        <v>385566.51765207207</v>
      </c>
      <c r="FS20" s="103">
        <f t="shared" si="9"/>
        <v>389422.18282859278</v>
      </c>
      <c r="FT20" s="103">
        <f t="shared" si="9"/>
        <v>393316.40465687873</v>
      </c>
      <c r="FU20" s="103">
        <f t="shared" si="9"/>
        <v>397249.56870344753</v>
      </c>
      <c r="FV20" s="103">
        <f t="shared" si="9"/>
        <v>401222.06439048203</v>
      </c>
      <c r="FW20" s="103">
        <f t="shared" si="9"/>
        <v>405234.28503438685</v>
      </c>
      <c r="FX20" s="103">
        <f t="shared" si="9"/>
        <v>409286.6278847307</v>
      </c>
      <c r="FY20" s="103">
        <f t="shared" si="9"/>
        <v>413379.49416357803</v>
      </c>
      <c r="FZ20" s="103">
        <f t="shared" si="9"/>
        <v>417513.28910521383</v>
      </c>
      <c r="GA20" s="103">
        <f t="shared" si="9"/>
        <v>421688.421996266</v>
      </c>
      <c r="GB20" s="103">
        <f t="shared" si="9"/>
        <v>425905.30621622864</v>
      </c>
      <c r="GC20" s="103">
        <f t="shared" si="9"/>
        <v>430164.35927839094</v>
      </c>
      <c r="GD20" s="103">
        <f t="shared" si="9"/>
        <v>434466.00287117483</v>
      </c>
      <c r="GE20" s="103">
        <f t="shared" si="9"/>
        <v>438810.66289988661</v>
      </c>
      <c r="GF20" s="103">
        <f t="shared" si="9"/>
        <v>443198.76952888549</v>
      </c>
      <c r="GG20" s="103">
        <f t="shared" si="9"/>
        <v>447630.75722417433</v>
      </c>
      <c r="GH20" s="103">
        <f t="shared" si="9"/>
        <v>452107.06479641609</v>
      </c>
      <c r="GI20" s="103">
        <f t="shared" si="9"/>
        <v>456628.13544438023</v>
      </c>
      <c r="GJ20" s="103">
        <f t="shared" si="9"/>
        <v>461194.41679882404</v>
      </c>
      <c r="GK20" s="103">
        <f t="shared" si="9"/>
        <v>465806.3609668123</v>
      </c>
      <c r="GL20" s="103">
        <f t="shared" si="9"/>
        <v>470464.42457648041</v>
      </c>
      <c r="GM20" s="103">
        <f t="shared" si="9"/>
        <v>475169.06882224523</v>
      </c>
      <c r="GN20" s="103">
        <f t="shared" si="9"/>
        <v>479920.7595104677</v>
      </c>
      <c r="GO20" s="103">
        <f t="shared" si="9"/>
        <v>484719.9671055724</v>
      </c>
      <c r="GP20" s="103">
        <f t="shared" si="9"/>
        <v>489567.16677662812</v>
      </c>
      <c r="GQ20" s="103">
        <f t="shared" si="9"/>
        <v>494462.83844439441</v>
      </c>
      <c r="GR20" s="103">
        <f t="shared" si="9"/>
        <v>499407.46682883834</v>
      </c>
      <c r="GS20" s="103">
        <f t="shared" si="9"/>
        <v>504401.54149712675</v>
      </c>
    </row>
    <row r="21" spans="1:201" ht="12.75">
      <c r="A21" s="103"/>
      <c r="B21" s="103"/>
      <c r="C21" s="72" t="s">
        <v>177</v>
      </c>
      <c r="D21" s="275" t="s">
        <v>262</v>
      </c>
      <c r="E21" s="73"/>
      <c r="F21" s="75">
        <f>SUM(F14,F17:F19)</f>
        <v>-21838.527066666473</v>
      </c>
      <c r="G21" s="76">
        <f t="shared" ref="G21:J21" si="10">SUM(G14,G17:G19)</f>
        <v>34866.097879993307</v>
      </c>
      <c r="H21" s="76">
        <f t="shared" si="10"/>
        <v>44258.378554044917</v>
      </c>
      <c r="I21" s="76">
        <f t="shared" si="10"/>
        <v>55683.873510683086</v>
      </c>
      <c r="J21" s="283">
        <f t="shared" si="10"/>
        <v>68343.482763113803</v>
      </c>
      <c r="K21" s="103"/>
      <c r="L21" s="103"/>
    </row>
    <row r="22" spans="1:201" ht="12.75">
      <c r="A22" s="103"/>
      <c r="B22" s="103"/>
      <c r="C22" s="4" t="s">
        <v>178</v>
      </c>
      <c r="D22" s="5"/>
      <c r="E22" s="5"/>
      <c r="F22" s="77">
        <f>$F$49</f>
        <v>0.10076495222322882</v>
      </c>
      <c r="G22" s="77">
        <f t="shared" ref="G22:J22" si="11">$F$49</f>
        <v>0.10076495222322882</v>
      </c>
      <c r="H22" s="77">
        <f t="shared" si="11"/>
        <v>0.10076495222322882</v>
      </c>
      <c r="I22" s="77">
        <f t="shared" si="11"/>
        <v>0.10076495222322882</v>
      </c>
      <c r="J22" s="284">
        <f t="shared" si="11"/>
        <v>0.10076495222322882</v>
      </c>
      <c r="K22" s="108" t="s">
        <v>225</v>
      </c>
      <c r="L22" s="107">
        <f>NPV(F48,F20:GS20)</f>
        <v>591010.22694566823</v>
      </c>
    </row>
    <row r="23" spans="1:201" ht="12.75">
      <c r="A23" s="103"/>
      <c r="B23" s="103"/>
      <c r="C23" s="4" t="s">
        <v>179</v>
      </c>
      <c r="D23" s="5" t="s">
        <v>262</v>
      </c>
      <c r="E23" s="5"/>
      <c r="F23" s="79">
        <f>F21/SUM(1+F22)^F8</f>
        <v>-19839.409878156937</v>
      </c>
      <c r="G23" s="56">
        <f t="shared" ref="G23:J23" si="12">G21/SUM(1+G22)^G8</f>
        <v>28774.922208855878</v>
      </c>
      <c r="H23" s="56">
        <f t="shared" si="12"/>
        <v>33182.699864636961</v>
      </c>
      <c r="I23" s="56">
        <f t="shared" si="12"/>
        <v>37927.22470072921</v>
      </c>
      <c r="J23" s="285">
        <f t="shared" si="12"/>
        <v>42288.680997455027</v>
      </c>
      <c r="K23" s="108"/>
      <c r="L23" s="107"/>
    </row>
    <row r="24" spans="1:201" ht="12.75">
      <c r="A24" s="103"/>
      <c r="B24" s="103"/>
      <c r="C24" s="11" t="s">
        <v>179</v>
      </c>
      <c r="D24" s="12" t="s">
        <v>263</v>
      </c>
      <c r="E24" s="12"/>
      <c r="F24" s="79">
        <f>F20/SUM(1+F22)^F8</f>
        <v>-26602.983686500931</v>
      </c>
      <c r="G24" s="56">
        <f>G20/SUM(1+G22)^G8</f>
        <v>21413.043322940364</v>
      </c>
      <c r="H24" s="56">
        <f>H20/SUM(1+H22)^H8</f>
        <v>27324.608839854904</v>
      </c>
      <c r="I24" s="56">
        <f>I20/SUM(1+I22)^I8</f>
        <v>35902.869460106391</v>
      </c>
      <c r="J24" s="285">
        <f>J20/SUM(1+J22)^J8</f>
        <v>40646.005719333829</v>
      </c>
      <c r="K24" s="103"/>
      <c r="L24" s="107">
        <f>L22-D57</f>
        <v>573180.22694566823</v>
      </c>
    </row>
    <row r="25" spans="1:201" ht="12.75">
      <c r="A25" s="103"/>
      <c r="B25" s="103"/>
      <c r="C25" s="9" t="s">
        <v>263</v>
      </c>
      <c r="D25" s="80"/>
      <c r="E25" s="578" t="s">
        <v>262</v>
      </c>
      <c r="F25" s="571"/>
      <c r="G25" s="5"/>
      <c r="H25" s="5"/>
      <c r="I25" s="5"/>
      <c r="J25" s="34" t="s">
        <v>263</v>
      </c>
      <c r="K25" s="107">
        <f>L22/IS!J2</f>
        <v>7.5437841691216718</v>
      </c>
      <c r="L25" s="103"/>
      <c r="M25" s="88" t="s">
        <v>263</v>
      </c>
      <c r="N25" s="267">
        <f>L24/D59</f>
        <v>7.3161981382833172</v>
      </c>
    </row>
    <row r="26" spans="1:201" ht="12.75">
      <c r="A26" s="103"/>
      <c r="B26" s="103"/>
      <c r="C26" s="564" t="s">
        <v>180</v>
      </c>
      <c r="D26" s="576">
        <f>SUM(F24:J24)</f>
        <v>98683.543655734553</v>
      </c>
      <c r="E26" s="577" t="s">
        <v>330</v>
      </c>
      <c r="F26" s="174">
        <f>SUM(F23:J23)</f>
        <v>122334.11789352013</v>
      </c>
      <c r="G26" s="5"/>
      <c r="H26" s="5"/>
      <c r="I26" s="5"/>
      <c r="J26" s="34"/>
      <c r="K26" s="103"/>
      <c r="L26" s="103"/>
    </row>
    <row r="27" spans="1:201" ht="12.75">
      <c r="A27" s="103"/>
      <c r="B27" s="103"/>
      <c r="C27" s="9" t="s">
        <v>181</v>
      </c>
      <c r="D27" s="5"/>
      <c r="E27" s="217" t="s">
        <v>181</v>
      </c>
      <c r="F27" s="123"/>
      <c r="G27" s="5"/>
      <c r="H27" s="5"/>
      <c r="I27" s="5"/>
      <c r="J27" s="34"/>
      <c r="K27" s="103"/>
      <c r="L27" s="103"/>
      <c r="O27" s="89"/>
    </row>
    <row r="28" spans="1:201" ht="12.75">
      <c r="A28" s="103"/>
      <c r="B28" s="103"/>
      <c r="C28" s="9" t="s">
        <v>182</v>
      </c>
      <c r="D28" s="5"/>
      <c r="E28" s="217" t="s">
        <v>182</v>
      </c>
      <c r="F28" s="123"/>
      <c r="G28" s="16" t="s">
        <v>256</v>
      </c>
      <c r="H28" s="5"/>
      <c r="I28" s="5"/>
      <c r="J28" s="34"/>
      <c r="K28" s="103" t="s">
        <v>261</v>
      </c>
      <c r="L28" s="103"/>
    </row>
    <row r="29" spans="1:201" ht="12.75">
      <c r="A29" s="103"/>
      <c r="B29" s="103"/>
      <c r="C29" s="4" t="s">
        <v>183</v>
      </c>
      <c r="D29" s="81">
        <v>0.02</v>
      </c>
      <c r="E29" s="217" t="s">
        <v>183</v>
      </c>
      <c r="F29" s="133">
        <v>0.02</v>
      </c>
      <c r="G29" s="214"/>
      <c r="H29" s="215"/>
      <c r="I29" s="215"/>
      <c r="J29" s="216"/>
      <c r="K29" s="226"/>
      <c r="L29" s="103"/>
    </row>
    <row r="30" spans="1:201" ht="12.75">
      <c r="A30" s="103"/>
      <c r="B30" s="103"/>
      <c r="C30" s="4" t="s">
        <v>184</v>
      </c>
      <c r="D30" s="78">
        <f>F49</f>
        <v>0.10076495222322882</v>
      </c>
      <c r="E30" s="217" t="s">
        <v>184</v>
      </c>
      <c r="F30" s="570">
        <f>F49</f>
        <v>0.10076495222322882</v>
      </c>
      <c r="G30" s="217"/>
      <c r="H30" s="131" t="s">
        <v>222</v>
      </c>
      <c r="I30" s="131"/>
      <c r="J30" s="218"/>
      <c r="K30" s="103"/>
      <c r="L30" s="103"/>
      <c r="O30" s="90"/>
    </row>
    <row r="31" spans="1:201" ht="12.75">
      <c r="A31" s="103"/>
      <c r="B31" s="103"/>
      <c r="C31" s="4" t="s">
        <v>185</v>
      </c>
      <c r="D31" s="23">
        <f>J20*SUM(1+D29)</f>
        <v>67002.500817289867</v>
      </c>
      <c r="E31" s="217" t="s">
        <v>185</v>
      </c>
      <c r="F31" s="572">
        <f>J21*SUM(1+F29)</f>
        <v>69710.352418376075</v>
      </c>
      <c r="G31" s="219">
        <f>MEDIAN(H31:H34)</f>
        <v>0.05</v>
      </c>
      <c r="H31" s="220">
        <f>9.9%</f>
        <v>9.9000000000000005E-2</v>
      </c>
      <c r="I31" s="133">
        <f>_xlfn.STDEV.P(H31:H34)</f>
        <v>2.2708753818736962E-2</v>
      </c>
      <c r="J31" s="218"/>
      <c r="K31" s="103"/>
      <c r="L31" s="103"/>
    </row>
    <row r="32" spans="1:201" ht="13.5" thickBot="1">
      <c r="A32" s="103"/>
      <c r="B32" s="103"/>
      <c r="C32" s="4" t="s">
        <v>186</v>
      </c>
      <c r="D32" s="23">
        <f>D31/SUM(D30-D29)</f>
        <v>829598.71792036144</v>
      </c>
      <c r="E32" s="217" t="s">
        <v>186</v>
      </c>
      <c r="F32" s="573">
        <f>F31/SUM(F30-F29)</f>
        <v>863126.27568578778</v>
      </c>
      <c r="G32" s="221">
        <f>SUM(H31:H34)/5</f>
        <v>4.82E-2</v>
      </c>
      <c r="H32" s="171">
        <v>5.2999999999999999E-2</v>
      </c>
      <c r="I32" s="123"/>
      <c r="J32" s="218"/>
      <c r="K32" s="103"/>
      <c r="L32" s="300" t="s">
        <v>269</v>
      </c>
      <c r="M32" s="301"/>
    </row>
    <row r="33" spans="1:92" ht="12.75">
      <c r="A33" s="103"/>
      <c r="B33" s="103"/>
      <c r="C33" s="574" t="s">
        <v>187</v>
      </c>
      <c r="D33" s="575">
        <f>D32/SUM(1+J22)^J8</f>
        <v>513328.17877649289</v>
      </c>
      <c r="E33" s="579" t="s">
        <v>187</v>
      </c>
      <c r="F33" s="580">
        <f>F32/SUM(1+J22)^J8</f>
        <v>534073.91981342889</v>
      </c>
      <c r="G33" s="217"/>
      <c r="H33" s="171">
        <v>4.2000000000000003E-2</v>
      </c>
      <c r="I33" s="123"/>
      <c r="J33" s="218"/>
      <c r="K33" s="103"/>
      <c r="L33" s="294"/>
      <c r="M33" s="295"/>
      <c r="O33" s="90"/>
    </row>
    <row r="34" spans="1:92" ht="12.75">
      <c r="A34" s="103"/>
      <c r="B34" s="103"/>
      <c r="C34" s="33"/>
      <c r="D34" s="5"/>
      <c r="E34" s="5"/>
      <c r="F34" s="5"/>
      <c r="G34" s="217"/>
      <c r="H34" s="171">
        <v>4.7E-2</v>
      </c>
      <c r="I34" s="123"/>
      <c r="J34" s="218"/>
      <c r="K34" s="103"/>
      <c r="L34" s="296">
        <f>I20*J65</f>
        <v>358912.67368028534</v>
      </c>
      <c r="M34" s="295"/>
    </row>
    <row r="35" spans="1:92" ht="12.75">
      <c r="A35" s="105"/>
      <c r="B35" s="105"/>
      <c r="C35" s="9" t="s">
        <v>213</v>
      </c>
      <c r="D35" s="5"/>
      <c r="E35" s="5"/>
      <c r="F35" s="5"/>
      <c r="G35" s="217"/>
      <c r="H35" s="123"/>
      <c r="I35" s="123"/>
      <c r="J35" s="218"/>
      <c r="K35" s="103"/>
      <c r="L35" s="297">
        <f>D25</f>
        <v>0</v>
      </c>
      <c r="M35" s="295"/>
    </row>
    <row r="36" spans="1:92" ht="12.75">
      <c r="A36" s="105"/>
      <c r="B36" s="105"/>
      <c r="C36" s="4" t="s">
        <v>189</v>
      </c>
      <c r="D36" s="93">
        <f>Dashboard!G41</f>
        <v>6</v>
      </c>
      <c r="E36" s="6" t="s">
        <v>211</v>
      </c>
      <c r="F36" s="5"/>
      <c r="G36" s="217"/>
      <c r="H36" s="131" t="s">
        <v>221</v>
      </c>
      <c r="I36" s="123"/>
      <c r="J36" s="218"/>
      <c r="K36" s="103"/>
      <c r="L36" s="296">
        <f>SUM(L34:L35)</f>
        <v>358912.67368028534</v>
      </c>
      <c r="M36" s="295"/>
      <c r="O36" s="91"/>
    </row>
    <row r="37" spans="1:92" ht="12.75">
      <c r="A37" s="103"/>
      <c r="B37" s="103"/>
      <c r="C37" s="4" t="s">
        <v>190</v>
      </c>
      <c r="D37" s="23">
        <f>IS!G27</f>
        <v>78344</v>
      </c>
      <c r="E37" s="5"/>
      <c r="F37" s="5"/>
      <c r="G37" s="217"/>
      <c r="H37" s="123"/>
      <c r="I37" s="123"/>
      <c r="J37" s="218"/>
      <c r="K37" s="103"/>
      <c r="L37" s="294"/>
      <c r="M37" s="295"/>
    </row>
    <row r="38" spans="1:92" ht="12.75">
      <c r="A38" s="105"/>
      <c r="B38" s="105"/>
      <c r="C38" s="2" t="s">
        <v>191</v>
      </c>
      <c r="D38" s="82">
        <v>2.8000000000000001E-2</v>
      </c>
      <c r="E38" s="5"/>
      <c r="F38" s="5"/>
      <c r="G38" s="217"/>
      <c r="H38" s="123"/>
      <c r="I38" s="123"/>
      <c r="J38" s="218"/>
      <c r="K38" s="103"/>
      <c r="L38" s="302">
        <f>(L36-D57)/D59</f>
        <v>4.3536540600465301</v>
      </c>
      <c r="M38" s="295"/>
    </row>
    <row r="39" spans="1:92" ht="12.75">
      <c r="A39" s="103"/>
      <c r="B39" s="103"/>
      <c r="C39" s="4" t="s">
        <v>192</v>
      </c>
      <c r="D39" s="83">
        <v>0.3</v>
      </c>
      <c r="E39" s="5"/>
      <c r="F39" s="5"/>
      <c r="G39" s="217"/>
      <c r="H39" s="123" t="s">
        <v>223</v>
      </c>
      <c r="I39" s="131" t="s">
        <v>224</v>
      </c>
      <c r="J39" s="218"/>
      <c r="K39" s="103"/>
      <c r="L39" s="298"/>
      <c r="M39" s="299"/>
      <c r="N39" s="88"/>
    </row>
    <row r="40" spans="1:92" ht="12.75">
      <c r="A40" s="103"/>
      <c r="B40" s="103"/>
      <c r="C40" s="4" t="s">
        <v>193</v>
      </c>
      <c r="D40" s="38">
        <f>D38*SUM(1-D39)</f>
        <v>1.9599999999999999E-2</v>
      </c>
      <c r="E40" s="5"/>
      <c r="F40" s="5"/>
      <c r="G40" s="217"/>
      <c r="H40" s="123">
        <f>326+253+282</f>
        <v>861</v>
      </c>
      <c r="I40" s="133">
        <f>326/H40</f>
        <v>0.37862950058072009</v>
      </c>
      <c r="J40" s="218"/>
      <c r="K40" s="103"/>
      <c r="L40" s="103"/>
    </row>
    <row r="41" spans="1:92" ht="12.75">
      <c r="A41" s="103"/>
      <c r="B41" s="103"/>
      <c r="C41" s="4" t="s">
        <v>194</v>
      </c>
      <c r="D41" s="507">
        <f>Dashboard!C34</f>
        <v>0.75</v>
      </c>
      <c r="E41" s="5">
        <v>0.56999999999999995</v>
      </c>
      <c r="F41" s="5" t="s">
        <v>292</v>
      </c>
      <c r="G41" s="217"/>
      <c r="H41" s="123"/>
      <c r="I41" s="131" t="s">
        <v>226</v>
      </c>
      <c r="J41" s="218"/>
      <c r="K41" s="103"/>
      <c r="L41" s="103"/>
    </row>
    <row r="42" spans="1:92" ht="12.75">
      <c r="A42" s="103"/>
      <c r="B42" s="103"/>
      <c r="C42" s="4" t="s">
        <v>195</v>
      </c>
      <c r="D42" s="83">
        <v>4.24E-2</v>
      </c>
      <c r="E42" s="6" t="s">
        <v>196</v>
      </c>
      <c r="F42" s="5"/>
      <c r="G42" s="217"/>
      <c r="H42" s="123"/>
      <c r="I42" s="133">
        <f>253/H40</f>
        <v>0.2938443670150987</v>
      </c>
      <c r="J42" s="218"/>
      <c r="K42" s="103"/>
      <c r="L42" s="103"/>
    </row>
    <row r="43" spans="1:92" ht="12.75">
      <c r="A43" s="103"/>
      <c r="B43" s="103"/>
      <c r="C43" s="4" t="s">
        <v>197</v>
      </c>
      <c r="D43" s="83">
        <v>0.1239</v>
      </c>
      <c r="E43" s="6" t="s">
        <v>198</v>
      </c>
      <c r="F43" s="5"/>
      <c r="G43" s="217"/>
      <c r="H43" s="123"/>
      <c r="I43" s="131" t="s">
        <v>227</v>
      </c>
      <c r="J43" s="218"/>
      <c r="K43" s="104"/>
      <c r="L43" s="103"/>
      <c r="Q43" s="88"/>
      <c r="R43" s="527"/>
    </row>
    <row r="44" spans="1:92" ht="12.75">
      <c r="A44" s="103"/>
      <c r="B44" s="103"/>
      <c r="C44" s="2" t="s">
        <v>199</v>
      </c>
      <c r="D44" s="84">
        <f>D42+SUM(D41*SUM(D43-D42))</f>
        <v>0.10352499999999999</v>
      </c>
      <c r="E44" s="5"/>
      <c r="F44" s="5"/>
      <c r="G44" s="217"/>
      <c r="H44" s="123"/>
      <c r="I44" s="133">
        <f>282/H40</f>
        <v>0.32752613240418116</v>
      </c>
      <c r="J44" s="218"/>
      <c r="K44" s="105"/>
      <c r="L44" s="533" t="s">
        <v>320</v>
      </c>
    </row>
    <row r="45" spans="1:92" ht="12.75">
      <c r="A45" s="103"/>
      <c r="B45" s="103"/>
      <c r="C45" s="33"/>
      <c r="D45" s="5"/>
      <c r="E45" s="5"/>
      <c r="F45" s="5"/>
      <c r="G45" s="217"/>
      <c r="H45" s="123"/>
      <c r="I45" s="123"/>
      <c r="J45" s="218"/>
      <c r="K45" s="105"/>
      <c r="L45" s="534"/>
    </row>
    <row r="46" spans="1:92" ht="12.75">
      <c r="A46" s="103"/>
      <c r="B46" s="103"/>
      <c r="C46" s="4" t="s">
        <v>200</v>
      </c>
      <c r="D46" s="85">
        <v>17830</v>
      </c>
      <c r="E46" s="5"/>
      <c r="F46" s="5"/>
      <c r="G46" s="217"/>
      <c r="H46" s="123"/>
      <c r="I46" s="222" t="s">
        <v>228</v>
      </c>
      <c r="J46" s="218"/>
      <c r="K46" s="103"/>
      <c r="L46" s="535" t="s">
        <v>321</v>
      </c>
      <c r="M46" s="520" t="s">
        <v>321</v>
      </c>
      <c r="N46" s="521" t="s">
        <v>321</v>
      </c>
      <c r="O46" s="520" t="s">
        <v>322</v>
      </c>
      <c r="P46" s="522" t="s">
        <v>322</v>
      </c>
      <c r="Q46" s="520" t="s">
        <v>322</v>
      </c>
      <c r="R46" s="520" t="s">
        <v>322</v>
      </c>
      <c r="S46" s="528" t="s">
        <v>270</v>
      </c>
      <c r="T46" s="530"/>
      <c r="U46" s="531"/>
      <c r="AO46" s="87" t="s">
        <v>323</v>
      </c>
      <c r="BI46" s="88" t="s">
        <v>324</v>
      </c>
    </row>
    <row r="47" spans="1:92" ht="12.75">
      <c r="A47" s="103"/>
      <c r="B47" s="103"/>
      <c r="C47" s="4" t="s">
        <v>201</v>
      </c>
      <c r="D47" s="23">
        <f>D36*D37</f>
        <v>470064</v>
      </c>
      <c r="E47" s="5"/>
      <c r="F47" s="16" t="s">
        <v>188</v>
      </c>
      <c r="G47" s="223"/>
      <c r="H47" s="97"/>
      <c r="I47" s="224">
        <f>I44+I42+I40</f>
        <v>1</v>
      </c>
      <c r="J47" s="225"/>
      <c r="K47" s="103"/>
      <c r="L47" s="536">
        <v>2021</v>
      </c>
      <c r="M47" s="524">
        <v>2022</v>
      </c>
      <c r="N47" s="526">
        <v>2023</v>
      </c>
      <c r="O47" s="524">
        <v>2024</v>
      </c>
      <c r="P47" s="525">
        <v>2025</v>
      </c>
      <c r="Q47" s="525">
        <v>2026</v>
      </c>
      <c r="R47" s="525">
        <v>2027</v>
      </c>
      <c r="S47" s="529">
        <v>2028</v>
      </c>
      <c r="T47" s="531">
        <f>S47+1</f>
        <v>2029</v>
      </c>
      <c r="U47" s="531">
        <f t="shared" ref="U47:CF47" si="13">T47+1</f>
        <v>2030</v>
      </c>
      <c r="V47" s="531">
        <f t="shared" si="13"/>
        <v>2031</v>
      </c>
      <c r="W47" s="531">
        <f t="shared" si="13"/>
        <v>2032</v>
      </c>
      <c r="X47" s="531">
        <f t="shared" si="13"/>
        <v>2033</v>
      </c>
      <c r="Y47" s="531">
        <f t="shared" si="13"/>
        <v>2034</v>
      </c>
      <c r="Z47" s="531">
        <f t="shared" si="13"/>
        <v>2035</v>
      </c>
      <c r="AA47" s="531">
        <f t="shared" si="13"/>
        <v>2036</v>
      </c>
      <c r="AB47" s="531">
        <f t="shared" si="13"/>
        <v>2037</v>
      </c>
      <c r="AC47" s="531">
        <f t="shared" si="13"/>
        <v>2038</v>
      </c>
      <c r="AD47" s="531">
        <f t="shared" si="13"/>
        <v>2039</v>
      </c>
      <c r="AE47" s="531">
        <f t="shared" si="13"/>
        <v>2040</v>
      </c>
      <c r="AF47" s="531">
        <f t="shared" si="13"/>
        <v>2041</v>
      </c>
      <c r="AG47" s="531">
        <f t="shared" si="13"/>
        <v>2042</v>
      </c>
      <c r="AH47" s="531">
        <f t="shared" si="13"/>
        <v>2043</v>
      </c>
      <c r="AI47" s="531">
        <f t="shared" si="13"/>
        <v>2044</v>
      </c>
      <c r="AJ47" s="531">
        <f t="shared" si="13"/>
        <v>2045</v>
      </c>
      <c r="AK47" s="531">
        <f t="shared" si="13"/>
        <v>2046</v>
      </c>
      <c r="AL47" s="531">
        <f t="shared" si="13"/>
        <v>2047</v>
      </c>
      <c r="AM47" s="531">
        <f t="shared" si="13"/>
        <v>2048</v>
      </c>
      <c r="AN47" s="531">
        <f t="shared" si="13"/>
        <v>2049</v>
      </c>
      <c r="AO47" s="531">
        <f t="shared" si="13"/>
        <v>2050</v>
      </c>
      <c r="AP47" s="531">
        <f t="shared" si="13"/>
        <v>2051</v>
      </c>
      <c r="AQ47" s="531">
        <f t="shared" si="13"/>
        <v>2052</v>
      </c>
      <c r="AR47" s="531">
        <f t="shared" si="13"/>
        <v>2053</v>
      </c>
      <c r="AS47" s="531">
        <f t="shared" si="13"/>
        <v>2054</v>
      </c>
      <c r="AT47" s="531">
        <f t="shared" si="13"/>
        <v>2055</v>
      </c>
      <c r="AU47" s="531">
        <f t="shared" si="13"/>
        <v>2056</v>
      </c>
      <c r="AV47" s="531">
        <f t="shared" si="13"/>
        <v>2057</v>
      </c>
      <c r="AW47" s="531">
        <f t="shared" si="13"/>
        <v>2058</v>
      </c>
      <c r="AX47" s="531">
        <f t="shared" si="13"/>
        <v>2059</v>
      </c>
      <c r="AY47" s="531">
        <f t="shared" si="13"/>
        <v>2060</v>
      </c>
      <c r="AZ47" s="531">
        <f t="shared" si="13"/>
        <v>2061</v>
      </c>
      <c r="BA47" s="531">
        <f t="shared" si="13"/>
        <v>2062</v>
      </c>
      <c r="BB47" s="531">
        <f t="shared" si="13"/>
        <v>2063</v>
      </c>
      <c r="BC47" s="531">
        <f t="shared" si="13"/>
        <v>2064</v>
      </c>
      <c r="BD47" s="531">
        <f t="shared" si="13"/>
        <v>2065</v>
      </c>
      <c r="BE47" s="531">
        <f t="shared" si="13"/>
        <v>2066</v>
      </c>
      <c r="BF47" s="531">
        <f t="shared" si="13"/>
        <v>2067</v>
      </c>
      <c r="BG47" s="531">
        <f t="shared" si="13"/>
        <v>2068</v>
      </c>
      <c r="BH47" s="531">
        <f t="shared" si="13"/>
        <v>2069</v>
      </c>
      <c r="BI47" s="531">
        <f t="shared" si="13"/>
        <v>2070</v>
      </c>
      <c r="BJ47" s="531">
        <f t="shared" si="13"/>
        <v>2071</v>
      </c>
      <c r="BK47" s="531">
        <f t="shared" si="13"/>
        <v>2072</v>
      </c>
      <c r="BL47" s="531">
        <f t="shared" si="13"/>
        <v>2073</v>
      </c>
      <c r="BM47" s="531">
        <f t="shared" si="13"/>
        <v>2074</v>
      </c>
      <c r="BN47" s="531">
        <f t="shared" si="13"/>
        <v>2075</v>
      </c>
      <c r="BO47" s="531">
        <f t="shared" si="13"/>
        <v>2076</v>
      </c>
      <c r="BP47" s="531">
        <f t="shared" si="13"/>
        <v>2077</v>
      </c>
      <c r="BQ47" s="531">
        <f t="shared" si="13"/>
        <v>2078</v>
      </c>
      <c r="BR47" s="531">
        <f t="shared" si="13"/>
        <v>2079</v>
      </c>
      <c r="BS47" s="531">
        <f t="shared" si="13"/>
        <v>2080</v>
      </c>
      <c r="BT47" s="531">
        <f t="shared" si="13"/>
        <v>2081</v>
      </c>
      <c r="BU47" s="531">
        <f t="shared" si="13"/>
        <v>2082</v>
      </c>
      <c r="BV47" s="531">
        <f t="shared" si="13"/>
        <v>2083</v>
      </c>
      <c r="BW47" s="531">
        <f t="shared" si="13"/>
        <v>2084</v>
      </c>
      <c r="BX47" s="531">
        <f t="shared" si="13"/>
        <v>2085</v>
      </c>
      <c r="BY47" s="531">
        <f t="shared" si="13"/>
        <v>2086</v>
      </c>
      <c r="BZ47" s="531">
        <f t="shared" si="13"/>
        <v>2087</v>
      </c>
      <c r="CA47" s="531">
        <f t="shared" si="13"/>
        <v>2088</v>
      </c>
      <c r="CB47" s="531">
        <f t="shared" si="13"/>
        <v>2089</v>
      </c>
      <c r="CC47" s="531">
        <f t="shared" si="13"/>
        <v>2090</v>
      </c>
      <c r="CD47" s="531">
        <f t="shared" si="13"/>
        <v>2091</v>
      </c>
      <c r="CE47" s="531">
        <f t="shared" si="13"/>
        <v>2092</v>
      </c>
      <c r="CF47" s="531">
        <f t="shared" si="13"/>
        <v>2093</v>
      </c>
      <c r="CG47" s="531">
        <f t="shared" ref="CG47:CN47" si="14">CF47+1</f>
        <v>2094</v>
      </c>
      <c r="CH47" s="531">
        <f t="shared" si="14"/>
        <v>2095</v>
      </c>
      <c r="CI47" s="531">
        <f t="shared" si="14"/>
        <v>2096</v>
      </c>
      <c r="CJ47" s="531">
        <f t="shared" si="14"/>
        <v>2097</v>
      </c>
      <c r="CK47" s="531">
        <f t="shared" si="14"/>
        <v>2098</v>
      </c>
      <c r="CL47" s="531">
        <f t="shared" si="14"/>
        <v>2099</v>
      </c>
      <c r="CM47" s="531">
        <f t="shared" si="14"/>
        <v>2100</v>
      </c>
      <c r="CN47" s="531">
        <f t="shared" si="14"/>
        <v>2101</v>
      </c>
    </row>
    <row r="48" spans="1:92" ht="12.75">
      <c r="A48" s="103"/>
      <c r="B48" s="103"/>
      <c r="C48" s="2" t="s">
        <v>202</v>
      </c>
      <c r="D48" s="80">
        <f>D46+D47</f>
        <v>487894</v>
      </c>
      <c r="E48" s="5"/>
      <c r="F48" s="102">
        <f>(D51*D44)+(D50*D38)</f>
        <v>0.10076495222322882</v>
      </c>
      <c r="G48" s="505"/>
      <c r="H48" s="505"/>
      <c r="I48" s="505"/>
      <c r="J48" s="506"/>
      <c r="K48" s="103"/>
      <c r="L48" s="537">
        <f>IS!E19</f>
        <v>1878</v>
      </c>
      <c r="M48" s="523">
        <f>IS!F19</f>
        <v>-5306</v>
      </c>
      <c r="N48" s="523">
        <f>IS!G19</f>
        <v>-14201</v>
      </c>
      <c r="O48" s="523">
        <f>IS!H19</f>
        <v>-1610.7611833330907</v>
      </c>
      <c r="P48" s="523">
        <f>IS!I19</f>
        <v>59364.233029351788</v>
      </c>
      <c r="Q48" s="523">
        <f>IS!J19</f>
        <v>70119.571549307526</v>
      </c>
      <c r="R48" s="523">
        <f>IS!K19</f>
        <v>85826.802284741323</v>
      </c>
      <c r="S48" s="523">
        <f>IS!L19</f>
        <v>99127.991541520576</v>
      </c>
      <c r="T48">
        <f>S48*(1+2%)</f>
        <v>101110.55137235099</v>
      </c>
      <c r="U48">
        <f t="shared" ref="U48:AO48" si="15">T48*(1+2%)</f>
        <v>103132.76239979801</v>
      </c>
      <c r="V48">
        <f t="shared" si="15"/>
        <v>105195.41764779398</v>
      </c>
      <c r="W48">
        <f t="shared" si="15"/>
        <v>107299.32600074986</v>
      </c>
      <c r="X48">
        <f t="shared" si="15"/>
        <v>109445.31252076486</v>
      </c>
      <c r="Y48">
        <f t="shared" si="15"/>
        <v>111634.21877118015</v>
      </c>
      <c r="Z48">
        <f t="shared" si="15"/>
        <v>113866.90314660376</v>
      </c>
      <c r="AA48">
        <f t="shared" si="15"/>
        <v>116144.24120953583</v>
      </c>
      <c r="AB48">
        <f t="shared" si="15"/>
        <v>118467.12603372656</v>
      </c>
      <c r="AC48">
        <f t="shared" si="15"/>
        <v>120836.46855440109</v>
      </c>
      <c r="AD48">
        <f t="shared" si="15"/>
        <v>123253.1979254891</v>
      </c>
      <c r="AE48">
        <f t="shared" si="15"/>
        <v>125718.26188399889</v>
      </c>
      <c r="AF48">
        <f t="shared" si="15"/>
        <v>128232.62712167886</v>
      </c>
      <c r="AG48">
        <f t="shared" si="15"/>
        <v>130797.27966411244</v>
      </c>
      <c r="AH48">
        <f t="shared" si="15"/>
        <v>133413.22525739469</v>
      </c>
      <c r="AI48">
        <f t="shared" si="15"/>
        <v>136081.48976254259</v>
      </c>
      <c r="AJ48">
        <f t="shared" si="15"/>
        <v>138803.11955779346</v>
      </c>
      <c r="AK48">
        <f t="shared" si="15"/>
        <v>141579.18194894932</v>
      </c>
      <c r="AL48">
        <f t="shared" si="15"/>
        <v>144410.7655879283</v>
      </c>
      <c r="AM48">
        <f t="shared" si="15"/>
        <v>147298.98089968687</v>
      </c>
      <c r="AN48">
        <f t="shared" si="15"/>
        <v>150244.96051768059</v>
      </c>
      <c r="AO48">
        <f t="shared" si="15"/>
        <v>153249.85972803421</v>
      </c>
      <c r="AP48">
        <f>AO48*(1+1%)</f>
        <v>154782.35832531456</v>
      </c>
      <c r="AQ48">
        <f t="shared" ref="AQ48:BI48" si="16">AP48*(1+1%)</f>
        <v>156330.1819085677</v>
      </c>
      <c r="AR48">
        <f t="shared" si="16"/>
        <v>157893.48372765337</v>
      </c>
      <c r="AS48">
        <f t="shared" si="16"/>
        <v>159472.41856492989</v>
      </c>
      <c r="AT48">
        <f t="shared" si="16"/>
        <v>161067.14275057919</v>
      </c>
      <c r="AU48">
        <f t="shared" si="16"/>
        <v>162677.81417808498</v>
      </c>
      <c r="AV48">
        <f t="shared" si="16"/>
        <v>164304.59231986583</v>
      </c>
      <c r="AW48">
        <f t="shared" si="16"/>
        <v>165947.63824306449</v>
      </c>
      <c r="AX48">
        <f t="shared" si="16"/>
        <v>167607.11462549513</v>
      </c>
      <c r="AY48">
        <f t="shared" si="16"/>
        <v>169283.18577175008</v>
      </c>
      <c r="AZ48">
        <f t="shared" si="16"/>
        <v>170976.01762946759</v>
      </c>
      <c r="BA48">
        <f t="shared" si="16"/>
        <v>172685.77780576228</v>
      </c>
      <c r="BB48">
        <f t="shared" si="16"/>
        <v>174412.63558381991</v>
      </c>
      <c r="BC48">
        <f t="shared" si="16"/>
        <v>176156.76193965811</v>
      </c>
      <c r="BD48">
        <f t="shared" si="16"/>
        <v>177918.32955905469</v>
      </c>
      <c r="BE48">
        <f t="shared" si="16"/>
        <v>179697.51285464523</v>
      </c>
      <c r="BF48">
        <f t="shared" si="16"/>
        <v>181494.48798319168</v>
      </c>
      <c r="BG48">
        <f t="shared" si="16"/>
        <v>183309.4328630236</v>
      </c>
      <c r="BH48">
        <f t="shared" si="16"/>
        <v>185142.52719165385</v>
      </c>
      <c r="BI48">
        <f t="shared" si="16"/>
        <v>186993.9524635704</v>
      </c>
      <c r="BJ48">
        <f>BI48*(1-2%)</f>
        <v>183254.073414299</v>
      </c>
      <c r="BK48">
        <f t="shared" ref="BK48:CN48" si="17">BJ48*(1-2%)</f>
        <v>179588.991946013</v>
      </c>
      <c r="BL48">
        <f t="shared" si="17"/>
        <v>175997.21210709275</v>
      </c>
      <c r="BM48">
        <f t="shared" si="17"/>
        <v>172477.2678649509</v>
      </c>
      <c r="BN48">
        <f t="shared" si="17"/>
        <v>169027.7225076519</v>
      </c>
      <c r="BO48">
        <f t="shared" si="17"/>
        <v>165647.16805749884</v>
      </c>
      <c r="BP48">
        <f t="shared" si="17"/>
        <v>162334.22469634886</v>
      </c>
      <c r="BQ48">
        <f t="shared" si="17"/>
        <v>159087.54020242186</v>
      </c>
      <c r="BR48">
        <f t="shared" si="17"/>
        <v>155905.78939837342</v>
      </c>
      <c r="BS48">
        <f t="shared" si="17"/>
        <v>152787.67361040597</v>
      </c>
      <c r="BT48">
        <f t="shared" si="17"/>
        <v>149731.92013819783</v>
      </c>
      <c r="BU48">
        <f t="shared" si="17"/>
        <v>146737.28173543388</v>
      </c>
      <c r="BV48">
        <f t="shared" si="17"/>
        <v>143802.53610072521</v>
      </c>
      <c r="BW48">
        <f t="shared" si="17"/>
        <v>140926.4853787107</v>
      </c>
      <c r="BX48">
        <f t="shared" si="17"/>
        <v>138107.95567113647</v>
      </c>
      <c r="BY48">
        <f t="shared" si="17"/>
        <v>135345.79655771374</v>
      </c>
      <c r="BZ48">
        <f t="shared" si="17"/>
        <v>132638.88062655946</v>
      </c>
      <c r="CA48">
        <f t="shared" si="17"/>
        <v>129986.10301402827</v>
      </c>
      <c r="CB48">
        <f t="shared" si="17"/>
        <v>127386.38095374771</v>
      </c>
      <c r="CC48">
        <f t="shared" si="17"/>
        <v>124838.65333467275</v>
      </c>
      <c r="CD48">
        <f t="shared" si="17"/>
        <v>122341.8802679793</v>
      </c>
      <c r="CE48">
        <f t="shared" si="17"/>
        <v>119895.04266261971</v>
      </c>
      <c r="CF48">
        <f t="shared" si="17"/>
        <v>117497.14180936731</v>
      </c>
      <c r="CG48">
        <f t="shared" si="17"/>
        <v>115147.19897317997</v>
      </c>
      <c r="CH48">
        <f t="shared" si="17"/>
        <v>112844.25499371637</v>
      </c>
      <c r="CI48">
        <f t="shared" si="17"/>
        <v>110587.36989384204</v>
      </c>
      <c r="CJ48">
        <f t="shared" si="17"/>
        <v>108375.6224959652</v>
      </c>
      <c r="CK48">
        <f t="shared" si="17"/>
        <v>106208.1100460459</v>
      </c>
      <c r="CL48">
        <f t="shared" si="17"/>
        <v>104083.94784512497</v>
      </c>
      <c r="CM48">
        <f t="shared" si="17"/>
        <v>102002.26888822248</v>
      </c>
      <c r="CN48">
        <f t="shared" si="17"/>
        <v>99962.223510458018</v>
      </c>
    </row>
    <row r="49" spans="1:92" ht="12.75">
      <c r="A49" s="103"/>
      <c r="B49" s="103"/>
      <c r="C49" s="33"/>
      <c r="D49" s="5"/>
      <c r="E49" s="5"/>
      <c r="F49" s="92">
        <f>F48</f>
        <v>0.10076495222322882</v>
      </c>
      <c r="G49" s="5"/>
      <c r="H49" s="5"/>
      <c r="I49" s="5"/>
      <c r="J49" s="34"/>
      <c r="K49" s="103"/>
      <c r="L49" s="538">
        <f>M48/L48-1</f>
        <v>-3.8253461128860491</v>
      </c>
      <c r="M49" s="194">
        <f t="shared" ref="M49:BX49" si="18">N48/M48-1</f>
        <v>1.6764040708631738</v>
      </c>
      <c r="N49" s="194">
        <f t="shared" si="18"/>
        <v>-0.8865741015891071</v>
      </c>
      <c r="O49" s="194">
        <f t="shared" si="18"/>
        <v>-37.85477005753981</v>
      </c>
      <c r="P49" s="194">
        <f t="shared" si="18"/>
        <v>0.18117539756031076</v>
      </c>
      <c r="Q49" s="194">
        <f t="shared" si="18"/>
        <v>0.22400637066626405</v>
      </c>
      <c r="R49" s="194">
        <f t="shared" si="18"/>
        <v>0.15497710391971564</v>
      </c>
      <c r="S49" s="194">
        <f t="shared" si="18"/>
        <v>2.0000000000000018E-2</v>
      </c>
      <c r="T49" s="194">
        <f t="shared" si="18"/>
        <v>2.0000000000000018E-2</v>
      </c>
      <c r="U49" s="194">
        <f t="shared" si="18"/>
        <v>2.0000000000000018E-2</v>
      </c>
      <c r="V49" s="194">
        <f t="shared" si="18"/>
        <v>2.0000000000000018E-2</v>
      </c>
      <c r="W49" s="194">
        <f t="shared" si="18"/>
        <v>2.0000000000000018E-2</v>
      </c>
      <c r="X49" s="194">
        <f t="shared" si="18"/>
        <v>2.0000000000000018E-2</v>
      </c>
      <c r="Y49" s="194">
        <f t="shared" si="18"/>
        <v>2.0000000000000018E-2</v>
      </c>
      <c r="Z49" s="194">
        <f t="shared" si="18"/>
        <v>2.0000000000000018E-2</v>
      </c>
      <c r="AA49" s="194">
        <f t="shared" si="18"/>
        <v>2.0000000000000018E-2</v>
      </c>
      <c r="AB49" s="194">
        <f t="shared" si="18"/>
        <v>2.0000000000000018E-2</v>
      </c>
      <c r="AC49" s="194">
        <f t="shared" si="18"/>
        <v>2.0000000000000018E-2</v>
      </c>
      <c r="AD49" s="194">
        <f t="shared" si="18"/>
        <v>2.0000000000000018E-2</v>
      </c>
      <c r="AE49" s="194">
        <f t="shared" si="18"/>
        <v>2.0000000000000018E-2</v>
      </c>
      <c r="AF49" s="194">
        <f t="shared" si="18"/>
        <v>2.0000000000000018E-2</v>
      </c>
      <c r="AG49" s="194">
        <f t="shared" si="18"/>
        <v>2.0000000000000018E-2</v>
      </c>
      <c r="AH49" s="194">
        <f t="shared" si="18"/>
        <v>2.0000000000000018E-2</v>
      </c>
      <c r="AI49" s="194">
        <f t="shared" si="18"/>
        <v>2.0000000000000018E-2</v>
      </c>
      <c r="AJ49" s="194">
        <f t="shared" si="18"/>
        <v>2.0000000000000018E-2</v>
      </c>
      <c r="AK49" s="194">
        <f t="shared" si="18"/>
        <v>2.0000000000000018E-2</v>
      </c>
      <c r="AL49" s="194">
        <f t="shared" si="18"/>
        <v>2.0000000000000018E-2</v>
      </c>
      <c r="AM49" s="194">
        <f t="shared" si="18"/>
        <v>2.0000000000000018E-2</v>
      </c>
      <c r="AN49" s="194">
        <f t="shared" si="18"/>
        <v>2.0000000000000018E-2</v>
      </c>
      <c r="AO49" s="194">
        <f t="shared" si="18"/>
        <v>1.0000000000000009E-2</v>
      </c>
      <c r="AP49" s="194">
        <f t="shared" si="18"/>
        <v>1.0000000000000009E-2</v>
      </c>
      <c r="AQ49" s="194">
        <f t="shared" si="18"/>
        <v>1.0000000000000009E-2</v>
      </c>
      <c r="AR49" s="194">
        <f t="shared" si="18"/>
        <v>1.0000000000000009E-2</v>
      </c>
      <c r="AS49" s="194">
        <f t="shared" si="18"/>
        <v>1.0000000000000009E-2</v>
      </c>
      <c r="AT49" s="194">
        <f t="shared" si="18"/>
        <v>1.0000000000000009E-2</v>
      </c>
      <c r="AU49" s="194">
        <f t="shared" si="18"/>
        <v>1.0000000000000009E-2</v>
      </c>
      <c r="AV49" s="194">
        <f t="shared" si="18"/>
        <v>1.0000000000000009E-2</v>
      </c>
      <c r="AW49" s="194">
        <f t="shared" si="18"/>
        <v>1.0000000000000009E-2</v>
      </c>
      <c r="AX49" s="194">
        <f t="shared" si="18"/>
        <v>1.0000000000000009E-2</v>
      </c>
      <c r="AY49" s="194">
        <f t="shared" si="18"/>
        <v>1.0000000000000009E-2</v>
      </c>
      <c r="AZ49" s="194">
        <f t="shared" si="18"/>
        <v>1.0000000000000009E-2</v>
      </c>
      <c r="BA49" s="194">
        <f t="shared" si="18"/>
        <v>1.0000000000000009E-2</v>
      </c>
      <c r="BB49" s="194">
        <f t="shared" si="18"/>
        <v>1.0000000000000009E-2</v>
      </c>
      <c r="BC49" s="194">
        <f t="shared" si="18"/>
        <v>1.0000000000000009E-2</v>
      </c>
      <c r="BD49" s="194">
        <f t="shared" si="18"/>
        <v>1.0000000000000009E-2</v>
      </c>
      <c r="BE49" s="194">
        <f t="shared" si="18"/>
        <v>1.0000000000000009E-2</v>
      </c>
      <c r="BF49" s="194">
        <f t="shared" si="18"/>
        <v>1.0000000000000009E-2</v>
      </c>
      <c r="BG49" s="194">
        <f t="shared" si="18"/>
        <v>1.0000000000000009E-2</v>
      </c>
      <c r="BH49" s="194">
        <f t="shared" si="18"/>
        <v>1.0000000000000009E-2</v>
      </c>
      <c r="BI49" s="194">
        <f t="shared" si="18"/>
        <v>-2.0000000000000018E-2</v>
      </c>
      <c r="BJ49" s="194">
        <f t="shared" si="18"/>
        <v>-2.0000000000000018E-2</v>
      </c>
      <c r="BK49" s="194">
        <f t="shared" si="18"/>
        <v>-1.9999999999999907E-2</v>
      </c>
      <c r="BL49" s="194">
        <f t="shared" si="18"/>
        <v>-2.0000000000000018E-2</v>
      </c>
      <c r="BM49" s="194">
        <f t="shared" si="18"/>
        <v>-1.9999999999999907E-2</v>
      </c>
      <c r="BN49" s="194">
        <f t="shared" si="18"/>
        <v>-2.0000000000000129E-2</v>
      </c>
      <c r="BO49" s="194">
        <f t="shared" si="18"/>
        <v>-2.0000000000000018E-2</v>
      </c>
      <c r="BP49" s="194">
        <f t="shared" si="18"/>
        <v>-2.0000000000000129E-2</v>
      </c>
      <c r="BQ49" s="194">
        <f t="shared" si="18"/>
        <v>-2.0000000000000018E-2</v>
      </c>
      <c r="BR49" s="194">
        <f t="shared" si="18"/>
        <v>-1.9999999999999907E-2</v>
      </c>
      <c r="BS49" s="194">
        <f t="shared" si="18"/>
        <v>-2.0000000000000129E-2</v>
      </c>
      <c r="BT49" s="194">
        <f t="shared" si="18"/>
        <v>-2.0000000000000018E-2</v>
      </c>
      <c r="BU49" s="194">
        <f t="shared" si="18"/>
        <v>-1.9999999999999907E-2</v>
      </c>
      <c r="BV49" s="194">
        <f t="shared" si="18"/>
        <v>-2.0000000000000018E-2</v>
      </c>
      <c r="BW49" s="194">
        <f t="shared" si="18"/>
        <v>-2.0000000000000129E-2</v>
      </c>
      <c r="BX49" s="194">
        <f t="shared" si="18"/>
        <v>-2.0000000000000018E-2</v>
      </c>
      <c r="BY49" s="194">
        <f t="shared" ref="BY49:CM49" si="19">BZ48/BY48-1</f>
        <v>-2.0000000000000018E-2</v>
      </c>
      <c r="BZ49" s="194">
        <f t="shared" si="19"/>
        <v>-2.0000000000000018E-2</v>
      </c>
      <c r="CA49" s="194">
        <f t="shared" si="19"/>
        <v>-2.0000000000000018E-2</v>
      </c>
      <c r="CB49" s="194">
        <f t="shared" si="19"/>
        <v>-2.0000000000000018E-2</v>
      </c>
      <c r="CC49" s="194">
        <f t="shared" si="19"/>
        <v>-2.0000000000000018E-2</v>
      </c>
      <c r="CD49" s="194">
        <f t="shared" si="19"/>
        <v>-2.0000000000000018E-2</v>
      </c>
      <c r="CE49" s="194">
        <f t="shared" si="19"/>
        <v>-2.0000000000000018E-2</v>
      </c>
      <c r="CF49" s="194">
        <f t="shared" si="19"/>
        <v>-2.0000000000000018E-2</v>
      </c>
      <c r="CG49" s="194">
        <f t="shared" si="19"/>
        <v>-2.0000000000000018E-2</v>
      </c>
      <c r="CH49" s="194">
        <f t="shared" si="19"/>
        <v>-2.0000000000000018E-2</v>
      </c>
      <c r="CI49" s="194">
        <f t="shared" si="19"/>
        <v>-2.0000000000000018E-2</v>
      </c>
      <c r="CJ49" s="194">
        <f t="shared" si="19"/>
        <v>-2.0000000000000018E-2</v>
      </c>
      <c r="CK49" s="194">
        <f t="shared" si="19"/>
        <v>-2.0000000000000018E-2</v>
      </c>
      <c r="CL49" s="194">
        <f t="shared" si="19"/>
        <v>-2.0000000000000018E-2</v>
      </c>
      <c r="CM49" s="194">
        <f t="shared" si="19"/>
        <v>-2.0000000000000129E-2</v>
      </c>
      <c r="CN49" s="194" t="s">
        <v>325</v>
      </c>
    </row>
    <row r="50" spans="1:92" ht="12.75">
      <c r="A50" s="103"/>
      <c r="B50" s="103"/>
      <c r="C50" s="4" t="s">
        <v>203</v>
      </c>
      <c r="D50" s="38">
        <f>D46/D48</f>
        <v>3.6544823260790255E-2</v>
      </c>
      <c r="E50" s="5"/>
      <c r="F50" s="16" t="s">
        <v>250</v>
      </c>
      <c r="G50" s="5"/>
      <c r="H50" s="16" t="s">
        <v>253</v>
      </c>
      <c r="I50" s="5"/>
      <c r="J50" s="34"/>
      <c r="K50" s="103"/>
      <c r="L50" s="534"/>
    </row>
    <row r="51" spans="1:92" ht="12.75">
      <c r="A51" s="103"/>
      <c r="B51" s="103"/>
      <c r="C51" s="4" t="s">
        <v>204</v>
      </c>
      <c r="D51" s="38">
        <f>D47/D48</f>
        <v>0.96345517673920977</v>
      </c>
      <c r="E51" s="5"/>
      <c r="F51" s="5"/>
      <c r="G51" s="5"/>
      <c r="H51" s="5"/>
      <c r="I51" s="5"/>
      <c r="J51" s="34"/>
      <c r="K51" s="103"/>
      <c r="L51" s="534"/>
      <c r="N51" s="96"/>
    </row>
    <row r="52" spans="1:92" ht="12.75">
      <c r="A52" s="103"/>
      <c r="B52" s="103"/>
      <c r="C52" s="33"/>
      <c r="D52" s="5"/>
      <c r="E52" s="5"/>
      <c r="F52" s="244">
        <f>-D36/D60+1</f>
        <v>0.2088884894071853</v>
      </c>
      <c r="G52" s="94"/>
      <c r="H52" s="92">
        <f>-D36/S76+1</f>
        <v>0.25373134328358204</v>
      </c>
      <c r="I52" s="5"/>
      <c r="J52" s="34"/>
      <c r="K52" s="103"/>
      <c r="L52" s="539">
        <f>NPV(F49,O48:CN48)</f>
        <v>970675.7370932874</v>
      </c>
      <c r="N52" s="267">
        <f>L52-D57</f>
        <v>952845.7370932874</v>
      </c>
    </row>
    <row r="53" spans="1:92" ht="12.75">
      <c r="A53" s="103"/>
      <c r="B53" s="103"/>
      <c r="C53" s="9" t="s">
        <v>184</v>
      </c>
      <c r="D53" s="86">
        <f>F49</f>
        <v>0.10076495222322882</v>
      </c>
      <c r="E53" s="5"/>
      <c r="F53" s="95"/>
      <c r="G53" s="94"/>
      <c r="H53" s="92"/>
      <c r="I53" s="5"/>
      <c r="J53" s="34"/>
      <c r="K53" s="103"/>
      <c r="L53" s="534"/>
      <c r="M53" s="277"/>
      <c r="N53" s="532">
        <f>N52/D59</f>
        <v>12.162331985771564</v>
      </c>
    </row>
    <row r="54" spans="1:92" ht="12.75">
      <c r="A54" s="103"/>
      <c r="B54" s="103"/>
      <c r="C54" s="33"/>
      <c r="D54" s="5"/>
      <c r="E54" s="5"/>
      <c r="F54" s="16" t="s">
        <v>255</v>
      </c>
      <c r="G54" s="5"/>
      <c r="H54" s="16" t="s">
        <v>254</v>
      </c>
      <c r="I54" s="5"/>
      <c r="J54" s="34"/>
      <c r="K54" s="103"/>
      <c r="L54" s="226"/>
      <c r="M54" s="277"/>
    </row>
    <row r="55" spans="1:92" ht="12.75">
      <c r="A55" s="103"/>
      <c r="B55" s="103"/>
      <c r="C55" s="9" t="s">
        <v>205</v>
      </c>
      <c r="D55" s="5"/>
      <c r="E55" s="5" t="s">
        <v>331</v>
      </c>
      <c r="F55" s="5"/>
      <c r="G55" s="5"/>
      <c r="H55" s="5"/>
      <c r="I55" s="5"/>
      <c r="J55" s="34"/>
      <c r="K55" s="103"/>
      <c r="L55" s="103"/>
    </row>
    <row r="56" spans="1:92" ht="12.75">
      <c r="A56" s="103"/>
      <c r="B56" s="103"/>
      <c r="C56" s="4" t="s">
        <v>206</v>
      </c>
      <c r="D56" s="23">
        <f>D26+D33</f>
        <v>612011.72243222746</v>
      </c>
      <c r="E56" s="23">
        <f>SUM(F26,F33)</f>
        <v>656408.03770694905</v>
      </c>
      <c r="F56" s="245">
        <f>-D36/S70+1</f>
        <v>0.23371647509578541</v>
      </c>
      <c r="G56" s="5"/>
      <c r="H56" s="92">
        <f>-D36/S74+1</f>
        <v>0.22178988326848248</v>
      </c>
      <c r="I56" s="5"/>
      <c r="J56" s="34"/>
      <c r="K56" s="103"/>
      <c r="L56" s="103"/>
      <c r="M56" s="87" t="s">
        <v>339</v>
      </c>
      <c r="N56" s="87" t="s">
        <v>338</v>
      </c>
      <c r="O56" s="87" t="s">
        <v>339</v>
      </c>
    </row>
    <row r="57" spans="1:92" ht="12.75">
      <c r="A57" s="103"/>
      <c r="B57" s="103"/>
      <c r="C57" s="4" t="s">
        <v>207</v>
      </c>
      <c r="D57" s="23">
        <f>D46</f>
        <v>17830</v>
      </c>
      <c r="E57" s="23">
        <f>D57</f>
        <v>17830</v>
      </c>
      <c r="F57" s="5"/>
      <c r="G57" s="5"/>
      <c r="H57" s="5"/>
      <c r="I57" s="5"/>
      <c r="J57" s="34"/>
      <c r="K57" s="103"/>
      <c r="L57" s="103" t="s">
        <v>336</v>
      </c>
      <c r="M57">
        <v>7.2229999999999999</v>
      </c>
      <c r="N57">
        <v>7.5038999999999998</v>
      </c>
      <c r="O57">
        <v>7.71</v>
      </c>
    </row>
    <row r="58" spans="1:92" ht="12.75">
      <c r="A58" s="103"/>
      <c r="B58" s="103"/>
      <c r="C58" s="2" t="s">
        <v>208</v>
      </c>
      <c r="D58" s="80">
        <f>D56-D57</f>
        <v>594181.72243222746</v>
      </c>
      <c r="E58" s="23">
        <f>E56-E57</f>
        <v>638578.03770694905</v>
      </c>
      <c r="F58" s="5"/>
      <c r="G58" s="5"/>
      <c r="H58" s="5"/>
      <c r="I58" s="5"/>
      <c r="J58" s="34"/>
      <c r="K58" s="103"/>
      <c r="L58" s="103" t="s">
        <v>337</v>
      </c>
      <c r="M58">
        <v>8.1690000000000005</v>
      </c>
      <c r="N58">
        <v>8.07</v>
      </c>
      <c r="O58">
        <v>8.5169999999999995</v>
      </c>
    </row>
    <row r="59" spans="1:92" ht="12.75">
      <c r="A59" s="103"/>
      <c r="B59" s="103"/>
      <c r="C59" s="4" t="s">
        <v>190</v>
      </c>
      <c r="D59" s="23">
        <f>IS!G27</f>
        <v>78344</v>
      </c>
      <c r="E59" s="23">
        <f>D59</f>
        <v>78344</v>
      </c>
      <c r="F59" s="5"/>
      <c r="G59" s="5"/>
      <c r="H59" s="5"/>
      <c r="I59" s="5"/>
      <c r="J59" s="34"/>
      <c r="K59" s="103"/>
      <c r="L59" s="103"/>
    </row>
    <row r="60" spans="1:92" ht="13.5" thickBot="1">
      <c r="A60" s="103"/>
      <c r="B60" s="103"/>
      <c r="C60" s="290" t="s">
        <v>266</v>
      </c>
      <c r="D60" s="287">
        <f>D58/D59</f>
        <v>7.5842658331490282</v>
      </c>
      <c r="E60" s="581">
        <f>_xll.RtaRESULT(E58/E59)</f>
        <v>8.1509501392186898</v>
      </c>
      <c r="F60" s="5"/>
      <c r="G60" s="5"/>
      <c r="H60" s="5"/>
      <c r="I60" s="5"/>
      <c r="J60" s="34"/>
      <c r="K60" s="103"/>
      <c r="L60" s="103"/>
    </row>
    <row r="61" spans="1:92" ht="13.5" thickTop="1">
      <c r="A61" s="103"/>
      <c r="B61" s="103"/>
      <c r="C61" s="291" t="s">
        <v>265</v>
      </c>
      <c r="D61" s="288">
        <f>K25</f>
        <v>7.5437841691216718</v>
      </c>
      <c r="E61" s="106"/>
      <c r="F61" s="106"/>
      <c r="G61" s="106"/>
      <c r="H61" s="106"/>
      <c r="I61" s="106"/>
      <c r="J61" s="106"/>
      <c r="K61" s="103"/>
      <c r="L61" s="103"/>
    </row>
    <row r="62" spans="1:92" ht="15.75" customHeight="1">
      <c r="C62" s="291" t="s">
        <v>265</v>
      </c>
      <c r="D62" s="288">
        <f>N25</f>
        <v>7.3161981382833172</v>
      </c>
      <c r="G62" s="270"/>
    </row>
    <row r="63" spans="1:92" ht="15.75" customHeight="1">
      <c r="A63" s="272"/>
      <c r="B63" s="272"/>
      <c r="C63" s="292" t="s">
        <v>271</v>
      </c>
      <c r="D63" s="289">
        <f>_xll.RtaRESULT(L38)</f>
        <v>4.3536540600465301</v>
      </c>
      <c r="E63" s="272"/>
      <c r="G63" s="327" t="s">
        <v>267</v>
      </c>
      <c r="I63" s="328" t="s">
        <v>270</v>
      </c>
    </row>
    <row r="64" spans="1:92" ht="15.75" customHeight="1">
      <c r="A64" s="272"/>
      <c r="B64" s="272"/>
      <c r="C64" s="276" t="s">
        <v>268</v>
      </c>
      <c r="D64" s="274"/>
      <c r="E64" s="272"/>
      <c r="F64" s="278">
        <f>$D$56/F12</f>
        <v>-50.586774885925855</v>
      </c>
      <c r="G64" s="323">
        <f>$D$56/G12</f>
        <v>12.186754258745525</v>
      </c>
      <c r="H64" s="278">
        <f>$D$56/H12</f>
        <v>10.059275951117453</v>
      </c>
      <c r="I64" s="325">
        <f>$D$56/I12</f>
        <v>8.3556254750274856</v>
      </c>
      <c r="J64" s="278">
        <f>$D$56/J12</f>
        <v>6.924748177325502</v>
      </c>
    </row>
    <row r="65" spans="1:20" ht="15.75" customHeight="1">
      <c r="A65" s="272"/>
      <c r="B65" s="272"/>
      <c r="C65" s="276" t="s">
        <v>152</v>
      </c>
      <c r="D65" s="274"/>
      <c r="E65" s="272"/>
      <c r="F65" s="278">
        <f>$D$56/F9</f>
        <v>-58.30991180714463</v>
      </c>
      <c r="G65" s="324">
        <f>$D$56/G9</f>
        <v>11.799181060599345</v>
      </c>
      <c r="H65" s="278">
        <f>$D$56/H9</f>
        <v>9.8233962756247752</v>
      </c>
      <c r="I65" s="326">
        <f>$D$56/I9</f>
        <v>8.1784586483035966</v>
      </c>
      <c r="J65" s="278">
        <f>$D$56/J9</f>
        <v>6.8089674879534279</v>
      </c>
    </row>
    <row r="66" spans="1:20" ht="15.75" customHeight="1">
      <c r="A66" s="272"/>
      <c r="B66" s="272"/>
      <c r="C66" s="273"/>
      <c r="D66" s="274"/>
      <c r="E66" s="272"/>
      <c r="G66" s="270"/>
    </row>
    <row r="67" spans="1:20" ht="15.75" customHeight="1">
      <c r="C67" s="87"/>
      <c r="D67" s="268"/>
      <c r="F67" s="269"/>
      <c r="G67" s="271"/>
      <c r="H67" s="269"/>
      <c r="I67" s="269"/>
      <c r="J67" s="269"/>
    </row>
    <row r="68" spans="1:20" ht="15.75" customHeight="1">
      <c r="B68" s="227"/>
      <c r="C68" s="228"/>
      <c r="D68" s="228"/>
      <c r="E68" s="228"/>
      <c r="F68" s="228"/>
      <c r="G68" s="228"/>
      <c r="H68" s="229"/>
      <c r="J68" s="227"/>
      <c r="K68" s="228"/>
      <c r="L68" s="228"/>
      <c r="M68" s="228"/>
      <c r="N68" s="228"/>
      <c r="O68" s="228"/>
      <c r="P68" s="228"/>
      <c r="Q68" s="228"/>
      <c r="R68" s="228"/>
      <c r="S68" s="228"/>
      <c r="T68" s="229"/>
    </row>
    <row r="69" spans="1:20" ht="15.75" customHeight="1">
      <c r="B69" s="230"/>
      <c r="C69" s="231"/>
      <c r="D69" s="231"/>
      <c r="E69" s="231"/>
      <c r="F69" s="231"/>
      <c r="G69" s="231"/>
      <c r="H69" s="232"/>
      <c r="J69" s="230"/>
      <c r="K69" s="231"/>
      <c r="L69" s="231"/>
      <c r="M69" s="231"/>
      <c r="N69" s="231"/>
      <c r="O69" s="231"/>
      <c r="P69" s="231"/>
      <c r="Q69" s="231"/>
      <c r="R69" s="231"/>
      <c r="S69" s="231"/>
      <c r="T69" s="232"/>
    </row>
    <row r="70" spans="1:20" ht="15.75" customHeight="1">
      <c r="B70" s="230"/>
      <c r="C70" s="231"/>
      <c r="D70" s="231"/>
      <c r="E70" s="231"/>
      <c r="F70" s="231"/>
      <c r="G70" s="234"/>
      <c r="H70" s="232"/>
      <c r="J70" s="230"/>
      <c r="K70" s="233" t="s">
        <v>217</v>
      </c>
      <c r="L70" s="233"/>
      <c r="M70" s="233"/>
      <c r="N70" s="233" t="s">
        <v>247</v>
      </c>
      <c r="O70" s="233"/>
      <c r="P70" s="231"/>
      <c r="Q70" s="233" t="s">
        <v>248</v>
      </c>
      <c r="R70" s="231"/>
      <c r="S70" s="231">
        <f>AVERAGE(O72:O81)</f>
        <v>7.83</v>
      </c>
      <c r="T70" s="232"/>
    </row>
    <row r="71" spans="1:20" ht="15.75" customHeight="1">
      <c r="B71" s="230"/>
      <c r="C71" s="231"/>
      <c r="D71" s="231"/>
      <c r="E71" s="233" t="s">
        <v>259</v>
      </c>
      <c r="F71" s="231"/>
      <c r="G71" s="231"/>
      <c r="H71" s="232"/>
      <c r="J71" s="230"/>
      <c r="K71" s="234"/>
      <c r="L71" s="231"/>
      <c r="M71" s="231"/>
      <c r="N71" s="234"/>
      <c r="O71" s="231"/>
      <c r="P71" s="231"/>
      <c r="Q71" s="231"/>
      <c r="R71" s="231"/>
      <c r="S71" s="231"/>
      <c r="T71" s="232"/>
    </row>
    <row r="72" spans="1:20" ht="15.75" customHeight="1">
      <c r="B72" s="230"/>
      <c r="C72" s="231"/>
      <c r="D72" s="231"/>
      <c r="E72" s="231"/>
      <c r="F72" s="231"/>
      <c r="G72" s="231"/>
      <c r="H72" s="232"/>
      <c r="J72" s="230"/>
      <c r="K72" s="234" t="s">
        <v>219</v>
      </c>
      <c r="L72" s="235">
        <f>_xll.RtaNORMAL(630750,30000)</f>
        <v>646671.90073779796</v>
      </c>
      <c r="M72" s="231"/>
      <c r="N72" s="236" t="s">
        <v>237</v>
      </c>
      <c r="O72" s="231">
        <v>7.91</v>
      </c>
      <c r="P72" s="231"/>
      <c r="Q72" s="233" t="s">
        <v>249</v>
      </c>
      <c r="R72" s="233"/>
      <c r="S72" s="231">
        <f>_xlfn.STDEV.S(O72:O81)</f>
        <v>0.101871378599574</v>
      </c>
      <c r="T72" s="232"/>
    </row>
    <row r="73" spans="1:20" ht="15.75" customHeight="1">
      <c r="B73" s="230"/>
      <c r="C73" s="231"/>
      <c r="D73" s="231"/>
      <c r="E73" s="231"/>
      <c r="F73" s="231"/>
      <c r="G73" s="231"/>
      <c r="H73" s="232"/>
      <c r="J73" s="230"/>
      <c r="K73" s="236"/>
      <c r="L73" s="235">
        <f>D57</f>
        <v>17830</v>
      </c>
      <c r="M73" s="231"/>
      <c r="N73" s="236" t="s">
        <v>238</v>
      </c>
      <c r="O73" s="231">
        <v>8.0399999999999991</v>
      </c>
      <c r="P73" s="231"/>
      <c r="Q73" s="231"/>
      <c r="R73" s="231"/>
      <c r="S73" s="231"/>
      <c r="T73" s="232"/>
    </row>
    <row r="74" spans="1:20" ht="15.75" customHeight="1">
      <c r="B74" s="230"/>
      <c r="C74" s="231"/>
      <c r="D74" s="231"/>
      <c r="E74" s="234" t="s">
        <v>188</v>
      </c>
      <c r="F74" s="231"/>
      <c r="G74" s="231"/>
      <c r="H74" s="232"/>
      <c r="I74" s="88"/>
      <c r="J74" s="237"/>
      <c r="K74" s="238"/>
      <c r="L74" s="231"/>
      <c r="M74" s="231"/>
      <c r="N74" s="239" t="s">
        <v>239</v>
      </c>
      <c r="O74" s="231">
        <v>7.86</v>
      </c>
      <c r="P74" s="231"/>
      <c r="Q74" s="233" t="s">
        <v>251</v>
      </c>
      <c r="R74" s="231"/>
      <c r="S74" s="231">
        <f>MIN(O72:O81)</f>
        <v>7.71</v>
      </c>
      <c r="T74" s="232"/>
    </row>
    <row r="75" spans="1:20" ht="15.75" customHeight="1">
      <c r="B75" s="230"/>
      <c r="C75" s="246">
        <f>D60</f>
        <v>7.5842658331490282</v>
      </c>
      <c r="D75" s="247">
        <v>0.09</v>
      </c>
      <c r="E75" s="247">
        <v>0.1</v>
      </c>
      <c r="F75" s="247">
        <f>D53</f>
        <v>0.10076495222322882</v>
      </c>
      <c r="G75" s="247">
        <v>0.12</v>
      </c>
      <c r="H75" s="232"/>
      <c r="I75" s="88"/>
      <c r="J75" s="237"/>
      <c r="K75" s="240" t="s">
        <v>218</v>
      </c>
      <c r="L75" s="235">
        <f>L72-L73</f>
        <v>628841.90073779796</v>
      </c>
      <c r="M75" s="231"/>
      <c r="N75" s="236" t="s">
        <v>240</v>
      </c>
      <c r="O75" s="231">
        <v>7.84</v>
      </c>
      <c r="P75" s="231"/>
      <c r="Q75" s="231"/>
      <c r="R75" s="231"/>
      <c r="S75" s="231"/>
      <c r="T75" s="232"/>
    </row>
    <row r="76" spans="1:20" ht="15.75" customHeight="1">
      <c r="B76" s="230"/>
      <c r="C76" s="248">
        <v>5.0000000000000001E-3</v>
      </c>
      <c r="D76" s="249">
        <f t="dataTable" ref="D76:G80" dt2D="1" dtr="1" r1="F49" r2="D29" ca="1"/>
        <v>7.532216625591527</v>
      </c>
      <c r="E76" s="250">
        <v>6.5436092271536141</v>
      </c>
      <c r="F76" s="250">
        <v>6.5436092271536141</v>
      </c>
      <c r="G76" s="251">
        <v>5.0949631513983258</v>
      </c>
      <c r="H76" s="232"/>
      <c r="J76" s="237"/>
      <c r="K76" s="231"/>
      <c r="L76" s="231">
        <f>_xll.RtaUNIFORM(70000,85000)</f>
        <v>80481.95254758386</v>
      </c>
      <c r="M76" s="231"/>
      <c r="N76" s="236" t="s">
        <v>241</v>
      </c>
      <c r="O76" s="231">
        <v>7.71</v>
      </c>
      <c r="P76" s="231"/>
      <c r="Q76" s="233" t="s">
        <v>252</v>
      </c>
      <c r="R76" s="231"/>
      <c r="S76" s="231">
        <f>MAX(O72:O81)</f>
        <v>8.0399999999999991</v>
      </c>
      <c r="T76" s="232"/>
    </row>
    <row r="77" spans="1:20" ht="15.75" customHeight="1">
      <c r="B77" s="230"/>
      <c r="C77" s="247">
        <v>0.02</v>
      </c>
      <c r="D77" s="252">
        <v>9.0296703178929221</v>
      </c>
      <c r="E77" s="101">
        <v>7.6739047975041368</v>
      </c>
      <c r="F77" s="101">
        <v>7.6739047975041368</v>
      </c>
      <c r="G77" s="253">
        <v>5.7899977552903579</v>
      </c>
      <c r="H77" s="232"/>
      <c r="J77" s="230"/>
      <c r="K77" s="231"/>
      <c r="L77" s="101">
        <f>_xll.RtaRESULT(L75/L76)</f>
        <v>7.8134523434431307</v>
      </c>
      <c r="M77" s="231"/>
      <c r="N77" s="236" t="s">
        <v>242</v>
      </c>
      <c r="O77" s="101">
        <v>7.82</v>
      </c>
      <c r="P77" s="231"/>
      <c r="Q77" s="231"/>
      <c r="R77" s="231"/>
      <c r="S77" s="231"/>
      <c r="T77" s="232"/>
    </row>
    <row r="78" spans="1:20" ht="15.75" customHeight="1">
      <c r="B78" s="230"/>
      <c r="C78" s="247">
        <v>0.03</v>
      </c>
      <c r="D78" s="252">
        <v>10.443932138399791</v>
      </c>
      <c r="E78" s="101">
        <v>8.6965531706784169</v>
      </c>
      <c r="F78" s="101">
        <v>8.6965531706784169</v>
      </c>
      <c r="G78" s="253">
        <v>6.3820642697169045</v>
      </c>
      <c r="H78" s="232"/>
      <c r="J78" s="230"/>
      <c r="K78" s="231"/>
      <c r="L78" s="231"/>
      <c r="M78" s="231"/>
      <c r="N78" s="236" t="s">
        <v>243</v>
      </c>
      <c r="O78" s="101">
        <v>7.72</v>
      </c>
      <c r="P78" s="231"/>
      <c r="Q78" s="231"/>
      <c r="R78" s="231"/>
      <c r="S78" s="231"/>
      <c r="T78" s="232"/>
    </row>
    <row r="79" spans="1:20" ht="15.75" customHeight="1">
      <c r="B79" s="254" t="s">
        <v>258</v>
      </c>
      <c r="C79" s="247">
        <v>0.05</v>
      </c>
      <c r="D79" s="252">
        <v>15.393848510173843</v>
      </c>
      <c r="E79" s="101">
        <v>11.969027964836117</v>
      </c>
      <c r="F79" s="101">
        <v>11.969027964836117</v>
      </c>
      <c r="G79" s="253">
        <v>8.073682882364178</v>
      </c>
      <c r="H79" s="232"/>
      <c r="J79" s="230"/>
      <c r="K79" s="231"/>
      <c r="L79" s="231"/>
      <c r="M79" s="231"/>
      <c r="N79" s="236" t="s">
        <v>244</v>
      </c>
      <c r="O79" s="101">
        <v>7.74</v>
      </c>
      <c r="P79" s="231"/>
      <c r="Q79" s="231"/>
      <c r="R79" s="231"/>
      <c r="S79" s="231"/>
      <c r="T79" s="232"/>
    </row>
    <row r="80" spans="1:20" ht="15.75" customHeight="1">
      <c r="B80" s="252">
        <f>AVERAGE(D76:G80)</f>
        <v>9.8428807257209083</v>
      </c>
      <c r="C80" s="255">
        <v>0.06</v>
      </c>
      <c r="D80" s="256">
        <v>20.343764881947891</v>
      </c>
      <c r="E80" s="257">
        <v>14.8324434097241</v>
      </c>
      <c r="F80" s="257">
        <v>14.8324434097241</v>
      </c>
      <c r="G80" s="258">
        <v>9.3423968418496344</v>
      </c>
      <c r="H80" s="232"/>
      <c r="J80" s="230"/>
      <c r="K80" s="231"/>
      <c r="L80" s="231"/>
      <c r="M80" s="231"/>
      <c r="N80" s="236" t="s">
        <v>245</v>
      </c>
      <c r="O80" s="101">
        <v>7.77</v>
      </c>
      <c r="P80" s="231"/>
      <c r="Q80" s="231"/>
      <c r="R80" s="231"/>
      <c r="S80" s="231"/>
      <c r="T80" s="232"/>
    </row>
    <row r="81" spans="2:20" ht="15.75" customHeight="1">
      <c r="B81" s="230"/>
      <c r="C81" s="259"/>
      <c r="D81" s="231"/>
      <c r="E81" s="231"/>
      <c r="F81" s="231"/>
      <c r="G81" s="231"/>
      <c r="H81" s="232"/>
      <c r="J81" s="230"/>
      <c r="K81" s="231"/>
      <c r="L81" s="231"/>
      <c r="M81" s="231"/>
      <c r="N81" s="236" t="s">
        <v>246</v>
      </c>
      <c r="O81" s="101">
        <v>7.89</v>
      </c>
      <c r="P81" s="231"/>
      <c r="Q81" s="231"/>
      <c r="R81" s="231"/>
      <c r="S81" s="231"/>
      <c r="T81" s="232"/>
    </row>
    <row r="82" spans="2:20" ht="15.75" customHeight="1">
      <c r="B82" s="230"/>
      <c r="C82" s="231"/>
      <c r="D82" s="231"/>
      <c r="E82" s="231"/>
      <c r="F82" s="231"/>
      <c r="G82" s="231"/>
      <c r="H82" s="232"/>
      <c r="J82" s="230"/>
      <c r="K82" s="231"/>
      <c r="L82" s="231"/>
      <c r="M82" s="231"/>
      <c r="N82" s="231"/>
      <c r="O82" s="231"/>
      <c r="P82" s="231"/>
      <c r="Q82" s="231"/>
      <c r="R82" s="231"/>
      <c r="S82" s="231"/>
      <c r="T82" s="232"/>
    </row>
    <row r="83" spans="2:20" ht="15.75" customHeight="1">
      <c r="B83" s="241"/>
      <c r="C83" s="242"/>
      <c r="D83" s="242"/>
      <c r="E83" s="242"/>
      <c r="F83" s="242"/>
      <c r="G83" s="242"/>
      <c r="H83" s="243"/>
      <c r="J83" s="241"/>
      <c r="K83" s="242"/>
      <c r="L83" s="242"/>
      <c r="M83" s="242"/>
      <c r="N83" s="242"/>
      <c r="O83" s="242"/>
      <c r="P83" s="242"/>
      <c r="Q83" s="242"/>
      <c r="R83" s="242"/>
      <c r="S83" s="242"/>
      <c r="T83" s="243"/>
    </row>
    <row r="86" spans="2:20" ht="15.75" customHeight="1">
      <c r="B86" s="303"/>
      <c r="C86" s="304"/>
      <c r="D86" s="305"/>
      <c r="E86" s="305"/>
      <c r="F86" s="305"/>
      <c r="G86" s="305"/>
      <c r="H86" s="293"/>
      <c r="J86" s="227"/>
      <c r="K86" s="228"/>
      <c r="L86" s="228"/>
      <c r="M86" s="228"/>
      <c r="N86" s="228"/>
      <c r="O86" s="559" t="s">
        <v>188</v>
      </c>
      <c r="P86" s="228"/>
      <c r="Q86" s="228"/>
      <c r="R86" s="228"/>
      <c r="S86" s="228"/>
      <c r="T86" s="229"/>
    </row>
    <row r="87" spans="2:20" ht="15.75" customHeight="1">
      <c r="B87" s="306"/>
      <c r="C87" s="307"/>
      <c r="D87" s="307"/>
      <c r="E87" s="308" t="s">
        <v>188</v>
      </c>
      <c r="F87" s="307"/>
      <c r="G87" s="307"/>
      <c r="H87" s="295"/>
      <c r="J87" s="230"/>
      <c r="K87" s="231"/>
      <c r="L87" s="231"/>
      <c r="M87" s="231"/>
      <c r="N87" s="231"/>
      <c r="O87" s="231"/>
      <c r="P87" s="231"/>
      <c r="Q87" s="231"/>
      <c r="R87" s="231"/>
      <c r="S87" s="231"/>
      <c r="T87" s="232"/>
    </row>
    <row r="88" spans="2:20" ht="15.75" customHeight="1">
      <c r="B88" s="306"/>
      <c r="C88" s="307"/>
      <c r="D88" s="307"/>
      <c r="E88" s="307"/>
      <c r="F88" s="307"/>
      <c r="G88" s="307"/>
      <c r="H88" s="295"/>
      <c r="J88" s="230"/>
      <c r="K88" s="231"/>
      <c r="L88" s="231"/>
      <c r="M88" s="231"/>
      <c r="N88" s="231"/>
      <c r="O88" s="231"/>
      <c r="P88" s="231"/>
      <c r="Q88" s="231"/>
      <c r="R88" s="231"/>
      <c r="S88" s="231"/>
      <c r="T88" s="232"/>
    </row>
    <row r="89" spans="2:20" ht="15.75" customHeight="1">
      <c r="B89" s="306"/>
      <c r="C89" s="309">
        <f>D63</f>
        <v>4.3536540600465301</v>
      </c>
      <c r="D89" s="310">
        <v>0.09</v>
      </c>
      <c r="E89" s="310">
        <v>0.1</v>
      </c>
      <c r="F89" s="310">
        <f t="shared" ref="F89:G89" si="20">F75</f>
        <v>0.10076495222322882</v>
      </c>
      <c r="G89" s="310">
        <f t="shared" si="20"/>
        <v>0.12</v>
      </c>
      <c r="H89" s="295"/>
      <c r="J89" s="230"/>
      <c r="K89" s="231"/>
      <c r="L89" s="543">
        <f>D60</f>
        <v>7.5842658331490282</v>
      </c>
      <c r="M89" s="544">
        <f>D89</f>
        <v>0.09</v>
      </c>
      <c r="N89" s="544">
        <f t="shared" ref="N89" si="21">E89</f>
        <v>0.1</v>
      </c>
      <c r="O89" s="544">
        <v>0.12</v>
      </c>
      <c r="P89" s="544">
        <v>0.14000000000000001</v>
      </c>
      <c r="Q89" s="544">
        <v>0.16</v>
      </c>
      <c r="R89" s="231"/>
      <c r="S89" s="231"/>
      <c r="T89" s="232"/>
    </row>
    <row r="90" spans="2:20" ht="15.75" customHeight="1">
      <c r="B90" s="306"/>
      <c r="C90" s="311">
        <v>5</v>
      </c>
      <c r="D90" s="316">
        <f t="dataTable" ref="D90:G94" dt2D="1" dtr="1" r1="F49" r2="J65" ca="1"/>
        <v>3.1365364289840145</v>
      </c>
      <c r="E90" s="304">
        <v>3.1365364289840145</v>
      </c>
      <c r="F90" s="304">
        <v>3.1365364289840145</v>
      </c>
      <c r="G90" s="317">
        <v>3.1365364289840145</v>
      </c>
      <c r="H90" s="295"/>
      <c r="J90" s="254" t="s">
        <v>327</v>
      </c>
      <c r="K90" s="231"/>
      <c r="L90" s="545">
        <f>L91*(1-10%)</f>
        <v>54272.025662004795</v>
      </c>
      <c r="M90" s="546">
        <f t="dataTable" ref="M90:Q94" dt2D="1" dtr="1" r1="F49" r2="D31" ca="1"/>
        <v>7.5209513776310972</v>
      </c>
      <c r="N90" s="547">
        <v>6.4127004492784732</v>
      </c>
      <c r="O90" s="547">
        <v>4.8679598852343036</v>
      </c>
      <c r="P90" s="547">
        <v>3.8454241366899988</v>
      </c>
      <c r="Q90" s="548">
        <v>3.1210101416520306</v>
      </c>
      <c r="R90" s="231"/>
      <c r="S90" s="231"/>
      <c r="T90" s="232"/>
    </row>
    <row r="91" spans="2:20" ht="15.75" customHeight="1">
      <c r="B91" s="306"/>
      <c r="C91" s="311">
        <f>6</f>
        <v>6</v>
      </c>
      <c r="D91" s="318">
        <v>3.8093609209484884</v>
      </c>
      <c r="E91" s="312">
        <v>3.8093609209484884</v>
      </c>
      <c r="F91" s="312">
        <v>3.8093609209484884</v>
      </c>
      <c r="G91" s="319">
        <v>3.8093609209484884</v>
      </c>
      <c r="H91" s="295"/>
      <c r="J91" s="237"/>
      <c r="K91" s="549"/>
      <c r="L91" s="545">
        <f>L92*(1-10%)</f>
        <v>60302.250735560883</v>
      </c>
      <c r="M91" s="550">
        <v>6.8777606715194759</v>
      </c>
      <c r="N91" s="551">
        <v>5.8750291218770059</v>
      </c>
      <c r="O91" s="551">
        <v>4.4748805827367226</v>
      </c>
      <c r="P91" s="551">
        <v>3.5456012457626236</v>
      </c>
      <c r="Q91" s="552">
        <v>2.8854226065451929</v>
      </c>
      <c r="R91" s="231"/>
      <c r="S91" s="231"/>
      <c r="T91" s="232"/>
    </row>
    <row r="92" spans="2:20" ht="15.75" customHeight="1">
      <c r="B92" s="313" t="s">
        <v>273</v>
      </c>
      <c r="C92" s="311">
        <v>7</v>
      </c>
      <c r="D92" s="318">
        <v>4.4821854129129628</v>
      </c>
      <c r="E92" s="312">
        <v>4.4821854129129628</v>
      </c>
      <c r="F92" s="312">
        <v>4.4821854129129628</v>
      </c>
      <c r="G92" s="319">
        <v>4.4821854129129628</v>
      </c>
      <c r="H92" s="295"/>
      <c r="J92" s="230"/>
      <c r="K92" s="231"/>
      <c r="L92" s="553">
        <f>D31</f>
        <v>67002.500817289867</v>
      </c>
      <c r="M92" s="550">
        <v>6.8777606715194759</v>
      </c>
      <c r="N92" s="554">
        <v>5.8750291218770059</v>
      </c>
      <c r="O92" s="554">
        <v>4.4748805827367226</v>
      </c>
      <c r="P92" s="551">
        <v>3.5456012457626236</v>
      </c>
      <c r="Q92" s="552">
        <v>2.8854226065451929</v>
      </c>
      <c r="R92" s="231"/>
      <c r="S92" s="231"/>
      <c r="T92" s="232"/>
    </row>
    <row r="93" spans="2:20" ht="15.75" customHeight="1">
      <c r="B93" s="318">
        <f>AVERAGE(D90:G94)</f>
        <v>5.55870460005612</v>
      </c>
      <c r="C93" s="311">
        <v>10</v>
      </c>
      <c r="D93" s="318">
        <v>6.5006588888063828</v>
      </c>
      <c r="E93" s="312">
        <v>6.5006588888063828</v>
      </c>
      <c r="F93" s="312">
        <v>6.5006588888063828</v>
      </c>
      <c r="G93" s="319">
        <v>6.5006588888063828</v>
      </c>
      <c r="H93" s="295"/>
      <c r="J93" s="230"/>
      <c r="K93" s="231"/>
      <c r="L93" s="555">
        <f>L92*(1+10%)</f>
        <v>73702.750899018865</v>
      </c>
      <c r="M93" s="550">
        <v>7.4566323070199356</v>
      </c>
      <c r="N93" s="551">
        <v>6.3589333165383266</v>
      </c>
      <c r="O93" s="551">
        <v>4.8286519549845455</v>
      </c>
      <c r="P93" s="551">
        <v>3.8154418475972602</v>
      </c>
      <c r="Q93" s="552">
        <v>3.097451388141347</v>
      </c>
      <c r="R93" s="231"/>
      <c r="S93" s="231"/>
      <c r="T93" s="232"/>
    </row>
    <row r="94" spans="2:20" ht="15.75" customHeight="1">
      <c r="B94" s="306"/>
      <c r="C94" s="311">
        <v>15</v>
      </c>
      <c r="D94" s="320">
        <v>9.8647813486287532</v>
      </c>
      <c r="E94" s="321">
        <v>9.8647813486287532</v>
      </c>
      <c r="F94" s="321">
        <v>9.8647813486287532</v>
      </c>
      <c r="G94" s="322">
        <v>9.8647813486287532</v>
      </c>
      <c r="H94" s="295"/>
      <c r="J94" s="230"/>
      <c r="K94" s="231"/>
      <c r="L94" s="555">
        <f>L93*(1+10%)</f>
        <v>81073.025988920752</v>
      </c>
      <c r="M94" s="556">
        <v>8.7938257850259962</v>
      </c>
      <c r="N94" s="557">
        <v>7.4767520062059791</v>
      </c>
      <c r="O94" s="557">
        <v>5.6458638248770185</v>
      </c>
      <c r="P94" s="557">
        <v>4.438773637835272</v>
      </c>
      <c r="Q94" s="558">
        <v>3.587237873628462</v>
      </c>
      <c r="R94" s="231"/>
      <c r="S94" s="231"/>
      <c r="T94" s="232"/>
    </row>
    <row r="95" spans="2:20" ht="15.75" customHeight="1">
      <c r="B95" s="306"/>
      <c r="C95" s="307"/>
      <c r="D95" s="307"/>
      <c r="E95" s="307"/>
      <c r="F95" s="307"/>
      <c r="G95" s="307"/>
      <c r="H95" s="295"/>
      <c r="J95" s="230"/>
      <c r="K95" s="231"/>
      <c r="L95" s="231"/>
      <c r="M95" s="231"/>
      <c r="N95" s="231"/>
      <c r="O95" s="231"/>
      <c r="P95" s="231"/>
      <c r="Q95" s="231"/>
      <c r="R95" s="231"/>
      <c r="S95" s="231"/>
      <c r="T95" s="232"/>
    </row>
    <row r="96" spans="2:20" ht="15.75" customHeight="1">
      <c r="B96" s="306"/>
      <c r="C96" s="307"/>
      <c r="D96" s="307"/>
      <c r="E96" s="307"/>
      <c r="F96" s="307"/>
      <c r="G96" s="307"/>
      <c r="H96" s="295"/>
      <c r="J96" s="230"/>
      <c r="K96" s="231"/>
      <c r="L96" s="231"/>
      <c r="M96" s="231"/>
      <c r="N96" s="231"/>
      <c r="O96" s="231"/>
      <c r="P96" s="231"/>
      <c r="Q96" s="231"/>
      <c r="R96" s="231"/>
      <c r="S96" s="231"/>
      <c r="T96" s="232"/>
    </row>
    <row r="97" spans="2:20" ht="15.75" customHeight="1">
      <c r="B97" s="314"/>
      <c r="C97" s="315"/>
      <c r="D97" s="315"/>
      <c r="E97" s="315"/>
      <c r="F97" s="315"/>
      <c r="G97" s="315"/>
      <c r="H97" s="299"/>
      <c r="J97" s="241"/>
      <c r="K97" s="242"/>
      <c r="L97" s="242"/>
      <c r="M97" s="242"/>
      <c r="N97" s="242"/>
      <c r="O97" s="242"/>
      <c r="P97" s="242"/>
      <c r="Q97" s="242"/>
      <c r="R97" s="242"/>
      <c r="S97" s="242"/>
      <c r="T97" s="243"/>
    </row>
  </sheetData>
  <mergeCells count="1">
    <mergeCell ref="F5:J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"/>
  <sheetViews>
    <sheetView tabSelected="1" workbookViewId="0">
      <selection activeCell="N29" sqref="N29"/>
    </sheetView>
  </sheetViews>
  <sheetFormatPr defaultRowHeight="12.75"/>
  <sheetData>
    <row r="3" spans="2:14">
      <c r="B3" s="87" t="s">
        <v>344</v>
      </c>
      <c r="N3" s="87" t="s">
        <v>345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155"/>
  <sheetViews>
    <sheetView workbookViewId="0"/>
  </sheetViews>
  <sheetFormatPr defaultRowHeight="12.75"/>
  <sheetData>
    <row r="1" spans="1:27">
      <c r="A1">
        <f>_xll.RTS(_xll.RTSD(DCF!L73,DCF!L74))</f>
        <v>8.4664181249949113</v>
      </c>
      <c r="B1" t="str">
        <f ca="1">CELL("address",DCF!$L$75)</f>
        <v>'[ROADZEN DCF V.2.xlsx]DCF'!$L$75</v>
      </c>
    </row>
    <row r="2" spans="1:27">
      <c r="A2">
        <f>_xll.RTSS(DCF!L70,DCF!L71)</f>
        <v>615853.10537867039</v>
      </c>
      <c r="B2" t="str">
        <f ca="1">CELL("address",DCF!$L$73)</f>
        <v>'[ROADZEN DCF V.2.xlsx]DCF'!$L$73</v>
      </c>
    </row>
    <row r="3" spans="1:27">
      <c r="A3">
        <f>_xll.RTS(_xll.RTSD('DCF MONTE CARLO'!L75,'DCF MONTE CARLO'!L76))</f>
        <v>7.8134523434431307</v>
      </c>
      <c r="B3" t="str">
        <f ca="1">CELL("address",'DCF MONTE CARLO'!$L$77)</f>
        <v>'[ROADZEN DCF V.2.xlsx]DCF MONTE CARLO'!$L$77</v>
      </c>
    </row>
    <row r="4" spans="1:27">
      <c r="A4">
        <f>_xll.RTSS('DCF MONTE CARLO'!L72,'DCF MONTE CARLO'!L73)</f>
        <v>628841.90073779796</v>
      </c>
      <c r="B4" t="str">
        <f ca="1">CELL("address",'DCF MONTE CARLO'!$L$75)</f>
        <v>'[ROADZEN DCF V.2.xlsx]DCF MONTE CARLO'!$L$75</v>
      </c>
    </row>
    <row r="5" spans="1:27">
      <c r="A5">
        <f>_xll.RTS('DCF MONTE CARLO'!D57)</f>
        <v>17830</v>
      </c>
      <c r="B5" t="str">
        <f ca="1">CELL("address",'DCF MONTE CARLO'!$E$57)</f>
        <v>'[ROADZEN DCF V.2.xlsx]DCF MONTE CARLO'!$E$57</v>
      </c>
    </row>
    <row r="6" spans="1:27">
      <c r="A6">
        <f>_xll.RTSS('DCF MONTE CARLO'!E56,'DCF MONTE CARLO'!E57)</f>
        <v>638578.03770694905</v>
      </c>
      <c r="B6" t="str">
        <f ca="1">CELL("address",'DCF MONTE CARLO'!$E$58)</f>
        <v>'[ROADZEN DCF V.2.xlsx]DCF MONTE CARLO'!$E$58</v>
      </c>
    </row>
    <row r="7" spans="1:27">
      <c r="A7">
        <f>_xll.RTS(_xll.RTSD('DCF MONTE CARLO'!E58,'DCF MONTE CARLO'!E59))</f>
        <v>8.1509501392186898</v>
      </c>
      <c r="B7" t="str">
        <f ca="1">CELL("address",'DCF MONTE CARLO'!$E$60)</f>
        <v>'[ROADZEN DCF V.2.xlsx]DCF MONTE CARLO'!$E$60</v>
      </c>
    </row>
    <row r="8" spans="1:27">
      <c r="A8">
        <f>_xll.RTSD('DCF MONTE CARLO'!D46,'DCF MONTE CARLO'!D48)</f>
        <v>3.6544823260790255E-2</v>
      </c>
      <c r="B8" t="str">
        <f ca="1">CELL("address",'DCF MONTE CARLO'!$D$50)</f>
        <v>'[ROADZEN DCF V.2.xlsx]DCF MONTE CARLO'!$D$50</v>
      </c>
      <c r="AA8">
        <v>43082119275279</v>
      </c>
    </row>
    <row r="9" spans="1:27">
      <c r="A9">
        <f>_xll.RTSA((_xll.RTSM('DCF MONTE CARLO'!D51,'DCF MONTE CARLO'!D44)),(_xll.RTSM('DCF MONTE CARLO'!D50,'DCF MONTE CARLO'!D38)))</f>
        <v>0.10076495222322882</v>
      </c>
      <c r="B9" t="str">
        <f ca="1">CELL("address",'DCF MONTE CARLO'!$F$48)</f>
        <v>'[ROADZEN DCF V.2.xlsx]DCF MONTE CARLO'!$F$48</v>
      </c>
    </row>
    <row r="10" spans="1:27">
      <c r="A10">
        <f>_xll.RTS('DCF MONTE CARLO'!F48)</f>
        <v>0.10076495222322882</v>
      </c>
      <c r="B10" t="str">
        <f ca="1">CELL("address",'DCF MONTE CARLO'!$F$49)</f>
        <v>'[ROADZEN DCF V.2.xlsx]DCF MONTE CARLO'!$F$49</v>
      </c>
    </row>
    <row r="11" spans="1:27">
      <c r="A11">
        <f>_xll.RTS('DCF MONTE CARLO'!$F$49)</f>
        <v>0.10076495222322882</v>
      </c>
      <c r="B11" t="str">
        <f ca="1">CELL("address",'DCF MONTE CARLO'!$J$22)</f>
        <v>'[ROADZEN DCF V.2.xlsx]DCF MONTE CARLO'!$J$22</v>
      </c>
    </row>
    <row r="12" spans="1:27">
      <c r="A12">
        <f>_xll.RTSD('DCF MONTE CARLO'!F32,_xll.RTSP(_xll.RTSSUM(_xll.RTSA(1,'DCF MONTE CARLO'!J22)),'DCF MONTE CARLO'!J8))</f>
        <v>534073.91981342889</v>
      </c>
      <c r="B12" t="str">
        <f ca="1">CELL("address",'DCF MONTE CARLO'!$F$33)</f>
        <v>'[ROADZEN DCF V.2.xlsx]DCF MONTE CARLO'!$F$33</v>
      </c>
    </row>
    <row r="13" spans="1:27">
      <c r="A13">
        <f>_xll.RTSSUM('DCF MONTE CARLO'!F26,'DCF MONTE CARLO'!F33)</f>
        <v>656408.03770694905</v>
      </c>
      <c r="B13" t="str">
        <f ca="1">CELL("address",'DCF MONTE CARLO'!$E$56)</f>
        <v>'[ROADZEN DCF V.2.xlsx]DCF MONTE CARLO'!$E$56</v>
      </c>
    </row>
    <row r="14" spans="1:27">
      <c r="A14">
        <f>_xll.RTSA('DCF MONTE CARLO'!D46,'DCF MONTE CARLO'!D47)</f>
        <v>487894</v>
      </c>
      <c r="B14" t="str">
        <f ca="1">CELL("address",'DCF MONTE CARLO'!$D$48)</f>
        <v>'[ROADZEN DCF V.2.xlsx]DCF MONTE CARLO'!$D$48</v>
      </c>
    </row>
    <row r="15" spans="1:27">
      <c r="A15">
        <f>_xll.RTS(IS!G27)</f>
        <v>78344</v>
      </c>
      <c r="B15" t="str">
        <f ca="1">CELL("address",'DCF MONTE CARLO'!$D$37)</f>
        <v>'[ROADZEN DCF V.2.xlsx]DCF MONTE CARLO'!$D$37</v>
      </c>
    </row>
    <row r="16" spans="1:27">
      <c r="A16">
        <f>_xll.RTSM('DCF MONTE CARLO'!D36,'DCF MONTE CARLO'!D37)</f>
        <v>470064</v>
      </c>
      <c r="B16" t="str">
        <f ca="1">CELL("address",'DCF MONTE CARLO'!$D$47)</f>
        <v>'[ROADZEN DCF V.2.xlsx]DCF MONTE CARLO'!$D$47</v>
      </c>
    </row>
    <row r="17" spans="1:2">
      <c r="A17">
        <f>_xll.RTSD('DCF MONTE CARLO'!D47,'DCF MONTE CARLO'!D48)</f>
        <v>0.96345517673920977</v>
      </c>
      <c r="B17" t="str">
        <f ca="1">CELL("address",'DCF MONTE CARLO'!$D$51)</f>
        <v>'[ROADZEN DCF V.2.xlsx]DCF MONTE CARLO'!$D$51</v>
      </c>
    </row>
    <row r="18" spans="1:2">
      <c r="A18">
        <f>_xll.RTS('DCF MONTE CARLO'!F49)</f>
        <v>0.10076495222322882</v>
      </c>
      <c r="B18" t="str">
        <f ca="1">CELL("address",'DCF MONTE CARLO'!$F$30)</f>
        <v>'[ROADZEN DCF V.2.xlsx]DCF MONTE CARLO'!$F$30</v>
      </c>
    </row>
    <row r="19" spans="1:2">
      <c r="A19">
        <f>_xll.RTSD('DCF MONTE CARLO'!F31,_xll.RTSSUM(_xll.RTSS('DCF MONTE CARLO'!F30,'DCF MONTE CARLO'!F29)))</f>
        <v>863126.27568578778</v>
      </c>
      <c r="B19" t="str">
        <f ca="1">CELL("address",'DCF MONTE CARLO'!$F$32)</f>
        <v>'[ROADZEN DCF V.2.xlsx]DCF MONTE CARLO'!$F$32</v>
      </c>
    </row>
    <row r="20" spans="1:2">
      <c r="A20">
        <f>_xll.RTSM('DCF MONTE CARLO'!J21,_xll.RTSSUM(_xll.RTSA(1,'DCF MONTE CARLO'!F29)))</f>
        <v>69710.352418376075</v>
      </c>
      <c r="B20" t="str">
        <f ca="1">CELL("address",'DCF MONTE CARLO'!$F$31)</f>
        <v>'[ROADZEN DCF V.2.xlsx]DCF MONTE CARLO'!$F$31</v>
      </c>
    </row>
    <row r="21" spans="1:2">
      <c r="A21">
        <f>_xll.RTSFORECAST('CF(WIP)'!L5,'CF(WIP)'!$E21:K21,'CF(WIP)'!$E5:K5)</f>
        <v>-343</v>
      </c>
      <c r="B21" t="str">
        <f ca="1">CELL("address",'CF(WIP)'!$L$21)</f>
        <v>'[ROADZEN DCF V.2.xlsx]CF(WIP)'!$L$21</v>
      </c>
    </row>
    <row r="22" spans="1:2">
      <c r="A22">
        <f>_xll.RTSSUM('CF(WIP)'!L9:L21)</f>
        <v>-4809.7392869458236</v>
      </c>
      <c r="B22" t="str">
        <f ca="1">CELL("address",'CF(WIP)'!$L$22)</f>
        <v>'[ROADZEN DCF V.2.xlsx]CF(WIP)'!$L$22</v>
      </c>
    </row>
    <row r="23" spans="1:2">
      <c r="A23">
        <f>_xll.RTS('CF(WIP)'!L22)</f>
        <v>-4809.7392869458236</v>
      </c>
      <c r="B23" t="str">
        <f ca="1">CELL("address",'DCF MONTE CARLO'!$J$18)</f>
        <v>'[ROADZEN DCF V.2.xlsx]DCF MONTE CARLO'!$J$18</v>
      </c>
    </row>
    <row r="24" spans="1:2">
      <c r="A24">
        <f>_xll.RTSSUM('DCF MONTE CARLO'!J14,'DCF MONTE CARLO'!J17:J19)</f>
        <v>68343.482763113803</v>
      </c>
      <c r="B24" t="str">
        <f ca="1">CELL("address",'DCF MONTE CARLO'!$J$21)</f>
        <v>'[ROADZEN DCF V.2.xlsx]DCF MONTE CARLO'!$J$21</v>
      </c>
    </row>
    <row r="25" spans="1:2">
      <c r="A25">
        <f>_xll.RTSFORECAST('CF(WIP)'!K5,'CF(WIP)'!$E21:J21,'CF(WIP)'!$E5:J5)</f>
        <v>-194</v>
      </c>
      <c r="B25" t="str">
        <f ca="1">CELL("address",'CF(WIP)'!$K$21)</f>
        <v>'[ROADZEN DCF V.2.xlsx]CF(WIP)'!$K$21</v>
      </c>
    </row>
    <row r="26" spans="1:2">
      <c r="A26">
        <f>_xll.RTSFORECAST('CF(WIP)'!J5,'CF(WIP)'!$E21:I21,'CF(WIP)'!$E5:I5)</f>
        <v>-45</v>
      </c>
      <c r="B26" t="str">
        <f ca="1">CELL("address",'CF(WIP)'!$J$21)</f>
        <v>'[ROADZEN DCF V.2.xlsx]CF(WIP)'!$J$21</v>
      </c>
    </row>
    <row r="27" spans="1:2">
      <c r="A27">
        <f>_xll.RTSFORECAST('CF(WIP)'!I5,'CF(WIP)'!$E21:H21,'CF(WIP)'!$E5:H5)</f>
        <v>104</v>
      </c>
      <c r="B27" t="str">
        <f ca="1">CELL("address",'CF(WIP)'!$I$21)</f>
        <v>'[ROADZEN DCF V.2.xlsx]CF(WIP)'!$I$21</v>
      </c>
    </row>
    <row r="28" spans="1:2">
      <c r="A28">
        <f>_xll.RTSFORECAST('CF(WIP)'!H5,'CF(WIP)'!$E21:G21,'CF(WIP)'!$E5:G5)</f>
        <v>253</v>
      </c>
      <c r="B28" t="str">
        <f ca="1">CELL("address",'CF(WIP)'!$H$21)</f>
        <v>'[ROADZEN DCF V.2.xlsx]CF(WIP)'!$H$21</v>
      </c>
    </row>
    <row r="29" spans="1:2">
      <c r="A29">
        <f>_xll.RTSFORECAST('CF(WIP)'!L5,'CF(WIP)'!$E20:K20,'CF(WIP)'!$E5:K5)</f>
        <v>331.33333333334303</v>
      </c>
      <c r="B29" t="str">
        <f ca="1">CELL("address",'CF(WIP)'!$L$20)</f>
        <v>'[ROADZEN DCF V.2.xlsx]CF(WIP)'!$L$20</v>
      </c>
    </row>
    <row r="30" spans="1:2">
      <c r="A30">
        <f>_xll.RTSFORECAST('CF(WIP)'!K5,'CF(WIP)'!$E20:J20,'CF(WIP)'!$E5:J5)</f>
        <v>299.33333333333576</v>
      </c>
      <c r="B30" t="str">
        <f ca="1">CELL("address",'CF(WIP)'!$K$20)</f>
        <v>'[ROADZEN DCF V.2.xlsx]CF(WIP)'!$K$20</v>
      </c>
    </row>
    <row r="31" spans="1:2">
      <c r="A31">
        <f>_xll.RTSFORECAST('CF(WIP)'!J5,'CF(WIP)'!$E20:I20,'CF(WIP)'!$E5:I5)</f>
        <v>267.33333333333576</v>
      </c>
      <c r="B31" t="str">
        <f ca="1">CELL("address",'CF(WIP)'!$J$20)</f>
        <v>'[ROADZEN DCF V.2.xlsx]CF(WIP)'!$J$20</v>
      </c>
    </row>
    <row r="32" spans="1:2">
      <c r="A32">
        <f>_xll.RTSFORECAST('CF(WIP)'!I5,'CF(WIP)'!$E20:H20,'CF(WIP)'!$E5:H5)</f>
        <v>235.33333333334303</v>
      </c>
      <c r="B32" t="str">
        <f ca="1">CELL("address",'CF(WIP)'!$I$20)</f>
        <v>'[ROADZEN DCF V.2.xlsx]CF(WIP)'!$I$20</v>
      </c>
    </row>
    <row r="33" spans="1:2">
      <c r="A33">
        <f>_xll.RTSFORECAST('CF(WIP)'!H5,'CF(WIP)'!$E20:G20,'CF(WIP)'!$E5:G5)</f>
        <v>203.33333333333576</v>
      </c>
      <c r="B33" t="str">
        <f ca="1">CELL("address",'CF(WIP)'!$H$20)</f>
        <v>'[ROADZEN DCF V.2.xlsx]CF(WIP)'!$H$20</v>
      </c>
    </row>
    <row r="34" spans="1:2">
      <c r="A34">
        <f>_xll.RTSFORECAST('CF(WIP)'!L5,'CF(WIP)'!$E19:K19,'CF(WIP)'!$E5:K5)</f>
        <v>-8628</v>
      </c>
      <c r="B34" t="str">
        <f ca="1">CELL("address",'CF(WIP)'!$L$19)</f>
        <v>'[ROADZEN DCF V.2.xlsx]CF(WIP)'!$L$19</v>
      </c>
    </row>
    <row r="35" spans="1:2">
      <c r="A35">
        <f>_xll.RTSFORECAST('CF(WIP)'!K5,'CF(WIP)'!$E19:J19,'CF(WIP)'!$E5:J5)</f>
        <v>-6656.5</v>
      </c>
      <c r="B35" t="str">
        <f ca="1">CELL("address",'CF(WIP)'!$K$19)</f>
        <v>'[ROADZEN DCF V.2.xlsx]CF(WIP)'!$K$19</v>
      </c>
    </row>
    <row r="36" spans="1:2">
      <c r="A36">
        <f>_xll.RTSFORECAST('CF(WIP)'!J5,'CF(WIP)'!$E19:I19,'CF(WIP)'!$E5:I5)</f>
        <v>-4685</v>
      </c>
      <c r="B36" t="str">
        <f ca="1">CELL("address",'CF(WIP)'!$J$19)</f>
        <v>'[ROADZEN DCF V.2.xlsx]CF(WIP)'!$J$19</v>
      </c>
    </row>
    <row r="37" spans="1:2">
      <c r="A37">
        <f>_xll.RTSFORECAST('CF(WIP)'!I5,'CF(WIP)'!$E19:H19,'CF(WIP)'!$E5:H5)</f>
        <v>-2713.5</v>
      </c>
      <c r="B37" t="str">
        <f ca="1">CELL("address",'CF(WIP)'!$I$19)</f>
        <v>'[ROADZEN DCF V.2.xlsx]CF(WIP)'!$I$19</v>
      </c>
    </row>
    <row r="38" spans="1:2">
      <c r="A38">
        <f>_xll.RTSFORECAST('CF(WIP)'!H5,'CF(WIP)'!$E19:G19,'CF(WIP)'!$E5:G5)</f>
        <v>-742</v>
      </c>
      <c r="B38" t="str">
        <f ca="1">CELL("address",'CF(WIP)'!$H$19)</f>
        <v>'[ROADZEN DCF V.2.xlsx]CF(WIP)'!$H$19</v>
      </c>
    </row>
    <row r="39" spans="1:2">
      <c r="A39">
        <f>_xll.RTSFORECAST('CF(WIP)'!L5,'CF(WIP)'!$E18:K18,'CF(WIP)'!$E5:K5)</f>
        <v>-908.66666666674428</v>
      </c>
      <c r="B39" t="str">
        <f ca="1">CELL("address",'CF(WIP)'!$L$18)</f>
        <v>'[ROADZEN DCF V.2.xlsx]CF(WIP)'!$L$18</v>
      </c>
    </row>
    <row r="40" spans="1:2">
      <c r="A40">
        <f>_xll.RTSFORECAST('CF(WIP)'!K5,'CF(WIP)'!$E18:J18,'CF(WIP)'!$E5:J5)</f>
        <v>-728.66666666668607</v>
      </c>
      <c r="B40" t="str">
        <f ca="1">CELL("address",'CF(WIP)'!$K$18)</f>
        <v>'[ROADZEN DCF V.2.xlsx]CF(WIP)'!$K$18</v>
      </c>
    </row>
    <row r="41" spans="1:2">
      <c r="A41">
        <f>_xll.RTSFORECAST('CF(WIP)'!J5,'CF(WIP)'!$E18:I18,'CF(WIP)'!$E5:I5)</f>
        <v>-548.66666666668607</v>
      </c>
      <c r="B41" t="str">
        <f ca="1">CELL("address",'CF(WIP)'!$J$18)</f>
        <v>'[ROADZEN DCF V.2.xlsx]CF(WIP)'!$J$18</v>
      </c>
    </row>
    <row r="42" spans="1:2">
      <c r="A42">
        <f>_xll.RTSFORECAST('CF(WIP)'!I5,'CF(WIP)'!$E18:H18,'CF(WIP)'!$E5:H5)</f>
        <v>-368.66666666674428</v>
      </c>
      <c r="B42" t="str">
        <f ca="1">CELL("address",'CF(WIP)'!$I$18)</f>
        <v>'[ROADZEN DCF V.2.xlsx]CF(WIP)'!$I$18</v>
      </c>
    </row>
    <row r="43" spans="1:2">
      <c r="A43">
        <f>_xll.RTSFORECAST('CF(WIP)'!H5,'CF(WIP)'!$E18:G18,'CF(WIP)'!$E5:G5)</f>
        <v>-188.66666666668607</v>
      </c>
      <c r="B43" t="str">
        <f ca="1">CELL("address",'CF(WIP)'!$H$18)</f>
        <v>'[ROADZEN DCF V.2.xlsx]CF(WIP)'!$H$18</v>
      </c>
    </row>
    <row r="44" spans="1:2">
      <c r="A44">
        <f>_xll.RTSFORECAST('CF(WIP)'!L5,'CF(WIP)'!$E17:K17,'CF(WIP)'!$E5:K5)</f>
        <v>4479.6666666669771</v>
      </c>
      <c r="B44" t="str">
        <f ca="1">CELL("address",'CF(WIP)'!$L$17)</f>
        <v>'[ROADZEN DCF V.2.xlsx]CF(WIP)'!$L$17</v>
      </c>
    </row>
    <row r="45" spans="1:2">
      <c r="A45">
        <f>_xll.RTSFORECAST('CF(WIP)'!K5,'CF(WIP)'!$E17:J17,'CF(WIP)'!$E5:J5)</f>
        <v>3818.1666666667443</v>
      </c>
      <c r="B45" t="str">
        <f ca="1">CELL("address",'CF(WIP)'!$K$17)</f>
        <v>'[ROADZEN DCF V.2.xlsx]CF(WIP)'!$K$17</v>
      </c>
    </row>
    <row r="46" spans="1:2">
      <c r="A46">
        <f>_xll.RTSFORECAST('CF(WIP)'!J5,'CF(WIP)'!$E17:I17,'CF(WIP)'!$E5:I5)</f>
        <v>3156.6666666667443</v>
      </c>
      <c r="B46" t="str">
        <f ca="1">CELL("address",'CF(WIP)'!$J$17)</f>
        <v>'[ROADZEN DCF V.2.xlsx]CF(WIP)'!$J$17</v>
      </c>
    </row>
    <row r="47" spans="1:2">
      <c r="A47">
        <f>_xll.RTSFORECAST('CF(WIP)'!I5,'CF(WIP)'!$E17:H17,'CF(WIP)'!$E5:H5)</f>
        <v>2495.1666666669771</v>
      </c>
      <c r="B47" t="str">
        <f ca="1">CELL("address",'CF(WIP)'!$I$17)</f>
        <v>'[ROADZEN DCF V.2.xlsx]CF(WIP)'!$I$17</v>
      </c>
    </row>
    <row r="48" spans="1:2">
      <c r="A48">
        <f>_xll.RTSFORECAST('CF(WIP)'!H5,'CF(WIP)'!$E17:G17,'CF(WIP)'!$E5:G5)</f>
        <v>1833.6666666667443</v>
      </c>
      <c r="B48" t="str">
        <f ca="1">CELL("address",'CF(WIP)'!$H$17)</f>
        <v>'[ROADZEN DCF V.2.xlsx]CF(WIP)'!$H$17</v>
      </c>
    </row>
    <row r="49" spans="1:2">
      <c r="A49">
        <f>_xll.RTSFORECAST('CF(WIP)'!L5,'CF(WIP)'!$E16:K16,'CF(WIP)'!$E5:K5)</f>
        <v>-1284</v>
      </c>
      <c r="B49" t="str">
        <f ca="1">CELL("address",'CF(WIP)'!$L$16)</f>
        <v>'[ROADZEN DCF V.2.xlsx]CF(WIP)'!$L$16</v>
      </c>
    </row>
    <row r="50" spans="1:2">
      <c r="A50">
        <f>_xll.RTSFORECAST('CF(WIP)'!K5,'CF(WIP)'!$E16:J16,'CF(WIP)'!$E5:J5)</f>
        <v>-1089</v>
      </c>
      <c r="B50" t="str">
        <f ca="1">CELL("address",'CF(WIP)'!$K$16)</f>
        <v>'[ROADZEN DCF V.2.xlsx]CF(WIP)'!$K$16</v>
      </c>
    </row>
    <row r="51" spans="1:2">
      <c r="A51">
        <f>_xll.RTSFORECAST('CF(WIP)'!J5,'CF(WIP)'!$E16:I16,'CF(WIP)'!$E5:I5)</f>
        <v>-894</v>
      </c>
      <c r="B51" t="str">
        <f ca="1">CELL("address",'CF(WIP)'!$J$16)</f>
        <v>'[ROADZEN DCF V.2.xlsx]CF(WIP)'!$J$16</v>
      </c>
    </row>
    <row r="52" spans="1:2">
      <c r="A52">
        <f>_xll.RTSFORECAST('CF(WIP)'!I5,'CF(WIP)'!$E16:H16,'CF(WIP)'!$E5:H5)</f>
        <v>-699</v>
      </c>
      <c r="B52" t="str">
        <f ca="1">CELL("address",'CF(WIP)'!$I$16)</f>
        <v>'[ROADZEN DCF V.2.xlsx]CF(WIP)'!$I$16</v>
      </c>
    </row>
    <row r="53" spans="1:2">
      <c r="A53">
        <f>_xll.RTSFORECAST('CF(WIP)'!H5,'CF(WIP)'!$E16:G16,'CF(WIP)'!$E5:G5)</f>
        <v>-504</v>
      </c>
      <c r="B53" t="str">
        <f ca="1">CELL("address",'CF(WIP)'!$H$16)</f>
        <v>'[ROADZEN DCF V.2.xlsx]CF(WIP)'!$H$16</v>
      </c>
    </row>
    <row r="54" spans="1:2">
      <c r="A54">
        <f>_xll.RTSFORECAST('CF(WIP)'!L5,'CF(WIP)'!$E15:K15,'CF(WIP)'!$E5:K5)</f>
        <v>-5913.6666666669771</v>
      </c>
      <c r="B54" t="str">
        <f ca="1">CELL("address",'CF(WIP)'!$L$15)</f>
        <v>'[ROADZEN DCF V.2.xlsx]CF(WIP)'!$L$15</v>
      </c>
    </row>
    <row r="55" spans="1:2">
      <c r="A55">
        <f>_xll.RTSFORECAST('CF(WIP)'!K5,'CF(WIP)'!$E15:J15,'CF(WIP)'!$E5:J5)</f>
        <v>-5015.1666666667443</v>
      </c>
      <c r="B55" t="str">
        <f ca="1">CELL("address",'CF(WIP)'!$K$15)</f>
        <v>'[ROADZEN DCF V.2.xlsx]CF(WIP)'!$K$15</v>
      </c>
    </row>
    <row r="56" spans="1:2">
      <c r="A56">
        <f>_xll.RTSFORECAST('CF(WIP)'!J5,'CF(WIP)'!$E15:I15,'CF(WIP)'!$E5:I5)</f>
        <v>-4116.6666666667443</v>
      </c>
      <c r="B56" t="str">
        <f ca="1">CELL("address",'CF(WIP)'!$J$15)</f>
        <v>'[ROADZEN DCF V.2.xlsx]CF(WIP)'!$J$15</v>
      </c>
    </row>
    <row r="57" spans="1:2">
      <c r="A57">
        <f>_xll.RTSFORECAST('CF(WIP)'!I5,'CF(WIP)'!$E15:H15,'CF(WIP)'!$E5:H5)</f>
        <v>-3218.1666666669771</v>
      </c>
      <c r="B57" t="str">
        <f ca="1">CELL("address",'CF(WIP)'!$I$15)</f>
        <v>'[ROADZEN DCF V.2.xlsx]CF(WIP)'!$I$15</v>
      </c>
    </row>
    <row r="58" spans="1:2">
      <c r="A58">
        <f>_xll.RTSFORECAST('CF(WIP)'!H5,'CF(WIP)'!$E15:G15,'CF(WIP)'!$E5:G5)</f>
        <v>-2319.6666666667443</v>
      </c>
      <c r="B58" t="str">
        <f ca="1">CELL("address",'CF(WIP)'!$H$15)</f>
        <v>'[ROADZEN DCF V.2.xlsx]CF(WIP)'!$H$15</v>
      </c>
    </row>
    <row r="59" spans="1:2">
      <c r="A59">
        <f>_xll.RTSFORECAST('CF(WIP)'!$H5,'CF(WIP)'!$E14:K14,'CF(WIP)'!$E5:K5)</f>
        <v>-2753.9823129251017</v>
      </c>
      <c r="B59" t="str">
        <f ca="1">CELL("address",'CF(WIP)'!$L$14)</f>
        <v>'[ROADZEN DCF V.2.xlsx]CF(WIP)'!$L$14</v>
      </c>
    </row>
    <row r="60" spans="1:2">
      <c r="A60">
        <f>_xll.RTSFORECAST('CF(WIP)'!$H5,'CF(WIP)'!$E14:J14,'CF(WIP)'!$E5:J5)</f>
        <v>-2894.6761904760497</v>
      </c>
      <c r="B60" t="str">
        <f ca="1">CELL("address",'CF(WIP)'!$K$14)</f>
        <v>'[ROADZEN DCF V.2.xlsx]CF(WIP)'!$K$14</v>
      </c>
    </row>
    <row r="61" spans="1:2">
      <c r="A61">
        <f>_xll.RTSFORECAST('CF(WIP)'!$H5,'CF(WIP)'!$E14:I14,'CF(WIP)'!$E5:I5)</f>
        <v>-3113.5333333332092</v>
      </c>
      <c r="B61" t="str">
        <f ca="1">CELL("address",'CF(WIP)'!$J$14)</f>
        <v>'[ROADZEN DCF V.2.xlsx]CF(WIP)'!$J$14</v>
      </c>
    </row>
    <row r="62" spans="1:2">
      <c r="A62">
        <f>_xll.RTSFORECAST('CF(WIP)'!$H5,'CF(WIP)'!$E14:H14,'CF(WIP)'!$E5:H5)</f>
        <v>-3343.3333333330229</v>
      </c>
      <c r="B62" t="str">
        <f ca="1">CELL("address",'CF(WIP)'!$I$14)</f>
        <v>'[ROADZEN DCF V.2.xlsx]CF(WIP)'!$I$14</v>
      </c>
    </row>
    <row r="63" spans="1:2">
      <c r="A63">
        <f>_xll.RTSFORECAST('CF(WIP)'!$H5,'CF(WIP)'!$E14:G14,'CF(WIP)'!$E5:G5)</f>
        <v>-3343.3333333332557</v>
      </c>
      <c r="B63" t="str">
        <f ca="1">CELL("address",'CF(WIP)'!$H$14)</f>
        <v>'[ROADZEN DCF V.2.xlsx]CF(WIP)'!$H$14</v>
      </c>
    </row>
    <row r="64" spans="1:2">
      <c r="A64">
        <f>_xll.RTSFORECAST('CF(WIP)'!L5,'CF(WIP)'!$E12:K12,'CF(WIP)'!$E5:K5)</f>
        <v>-488</v>
      </c>
      <c r="B64" t="str">
        <f ca="1">CELL("address",'CF(WIP)'!$L$12)</f>
        <v>'[ROADZEN DCF V.2.xlsx]CF(WIP)'!$L$12</v>
      </c>
    </row>
    <row r="65" spans="1:2">
      <c r="A65">
        <f>_xll.RTSFORECAST('CF(WIP)'!K5,'CF(WIP)'!$E12:J12,'CF(WIP)'!$E5:J5)</f>
        <v>-405</v>
      </c>
      <c r="B65" t="str">
        <f ca="1">CELL("address",'CF(WIP)'!$K$12)</f>
        <v>'[ROADZEN DCF V.2.xlsx]CF(WIP)'!$K$12</v>
      </c>
    </row>
    <row r="66" spans="1:2">
      <c r="A66">
        <f>_xll.RTSFORECAST('CF(WIP)'!J5,'CF(WIP)'!$E12:I12,'CF(WIP)'!$E5:I5)</f>
        <v>-322</v>
      </c>
      <c r="B66" t="str">
        <f ca="1">CELL("address",'CF(WIP)'!$J$12)</f>
        <v>'[ROADZEN DCF V.2.xlsx]CF(WIP)'!$J$12</v>
      </c>
    </row>
    <row r="67" spans="1:2">
      <c r="A67">
        <f>_xll.RTSFORECAST('CF(WIP)'!I5,'CF(WIP)'!$E12:H12,'CF(WIP)'!$E5:H5)</f>
        <v>-239</v>
      </c>
      <c r="B67" t="str">
        <f ca="1">CELL("address",'CF(WIP)'!$I$12)</f>
        <v>'[ROADZEN DCF V.2.xlsx]CF(WIP)'!$I$12</v>
      </c>
    </row>
    <row r="68" spans="1:2">
      <c r="A68">
        <f>_xll.RTSFORECAST('CF(WIP)'!H5,'CF(WIP)'!$E12:G12,'CF(WIP)'!$E5:G5)</f>
        <v>-156</v>
      </c>
      <c r="B68" t="str">
        <f ca="1">CELL("address",'CF(WIP)'!$H$12)</f>
        <v>'[ROADZEN DCF V.2.xlsx]CF(WIP)'!$H$12</v>
      </c>
    </row>
    <row r="69" spans="1:2">
      <c r="A69">
        <f>_xll.RTSFORECAST('CF(WIP)'!L5,'CF(WIP)'!$E11:K11,'CF(WIP)'!$E5:K5)</f>
        <v>1731.3333333334886</v>
      </c>
      <c r="B69" t="str">
        <f ca="1">CELL("address",'CF(WIP)'!$L$11)</f>
        <v>'[ROADZEN DCF V.2.xlsx]CF(WIP)'!$L$11</v>
      </c>
    </row>
    <row r="70" spans="1:2">
      <c r="A70">
        <f>_xll.RTSFORECAST('CF(WIP)'!K5,'CF(WIP)'!$E11:J11,'CF(WIP)'!$E5:J5)</f>
        <v>1408.3333333333721</v>
      </c>
      <c r="B70" t="str">
        <f ca="1">CELL("address",'CF(WIP)'!$K$11)</f>
        <v>'[ROADZEN DCF V.2.xlsx]CF(WIP)'!$K$11</v>
      </c>
    </row>
    <row r="71" spans="1:2">
      <c r="A71">
        <f>_xll.RTSFORECAST('CF(WIP)'!J5,'CF(WIP)'!$E11:I11,'CF(WIP)'!$E5:I5)</f>
        <v>1085.3333333333721</v>
      </c>
      <c r="B71" t="str">
        <f ca="1">CELL("address",'CF(WIP)'!$J$11)</f>
        <v>'[ROADZEN DCF V.2.xlsx]CF(WIP)'!$J$11</v>
      </c>
    </row>
    <row r="72" spans="1:2">
      <c r="A72">
        <f>_xll.RTSFORECAST('CF(WIP)'!I5,'CF(WIP)'!$E11:H11,'CF(WIP)'!$E5:H5)</f>
        <v>762.33333333348855</v>
      </c>
      <c r="B72" t="str">
        <f ca="1">CELL("address",'CF(WIP)'!$I$11)</f>
        <v>'[ROADZEN DCF V.2.xlsx]CF(WIP)'!$I$11</v>
      </c>
    </row>
    <row r="73" spans="1:2">
      <c r="A73">
        <f>_xll.RTSFORECAST('CF(WIP)'!H5,'CF(WIP)'!$E11:G11,'CF(WIP)'!$E5:G5)</f>
        <v>439.33333333337214</v>
      </c>
      <c r="B73" t="str">
        <f ca="1">CELL("address",'CF(WIP)'!$H$11)</f>
        <v>'[ROADZEN DCF V.2.xlsx]CF(WIP)'!$H$11</v>
      </c>
    </row>
    <row r="74" spans="1:2">
      <c r="A74">
        <f>_xll.RTSFORECAST('CF(WIP)'!L5,'CF(WIP)'!I9:K9,'CF(WIP)'!I5:K5)</f>
        <v>1502.8326666666908</v>
      </c>
      <c r="B74" t="str">
        <f ca="1">CELL("address",'CF(WIP)'!$L$9)</f>
        <v>'[ROADZEN DCF V.2.xlsx]CF(WIP)'!$L$9</v>
      </c>
    </row>
    <row r="75" spans="1:2">
      <c r="A75">
        <f>_xll.RTSFORECAST('CF(WIP)'!K5,'CF(WIP)'!E9:J9,'CF(WIP)'!E5:J5)</f>
        <v>1586.6886666666724</v>
      </c>
      <c r="B75" t="str">
        <f ca="1">CELL("address",'CF(WIP)'!$K$9)</f>
        <v>'[ROADZEN DCF V.2.xlsx]CF(WIP)'!$K$9</v>
      </c>
    </row>
    <row r="76" spans="1:2">
      <c r="A76">
        <f>_xll.RTSFORECAST('CF(WIP)'!E5,'CF(WIP)'!E9:I9,'CF(WIP)'!E5:I5)</f>
        <v>1460.9046666666836</v>
      </c>
      <c r="B76" t="str">
        <f ca="1">CELL("address",'CF(WIP)'!$J$9)</f>
        <v>'[ROADZEN DCF V.2.xlsx]CF(WIP)'!$J$9</v>
      </c>
    </row>
    <row r="77" spans="1:2">
      <c r="A77">
        <f>_xll.RTSFORECAST('CF(WIP)'!I5,'CF(WIP)'!E9:H9,'CF(WIP)'!E5:H5)</f>
        <v>1649.5806666666613</v>
      </c>
      <c r="B77" t="str">
        <f ca="1">CELL("address",'CF(WIP)'!$I$9)</f>
        <v>'[ROADZEN DCF V.2.xlsx]CF(WIP)'!$I$9</v>
      </c>
    </row>
    <row r="78" spans="1:2">
      <c r="A78">
        <f>_xll.RTSFORECAST('CF(WIP)'!H5,'CF(WIP)'!E9:G9,'CF(WIP)'!E5:G5)</f>
        <v>1602.4116666666669</v>
      </c>
      <c r="B78" t="str">
        <f ca="1">CELL("address",'CF(WIP)'!$H$9)</f>
        <v>'[ROADZEN DCF V.2.xlsx]CF(WIP)'!$H$9</v>
      </c>
    </row>
    <row r="79" spans="1:2">
      <c r="A79">
        <f>_xll.RTS('CF(WIP)'!L9)</f>
        <v>1502.8326666666908</v>
      </c>
      <c r="B79" t="str">
        <f ca="1">CELL("address",'DCF MONTE CARLO'!$J$11)</f>
        <v>'[ROADZEN DCF V.2.xlsx]DCF MONTE CARLO'!$J$11</v>
      </c>
    </row>
    <row r="80" spans="1:2">
      <c r="A80">
        <f>_xll.RTS('DCF MONTE CARLO'!J11)</f>
        <v>1502.8326666666908</v>
      </c>
      <c r="B80" t="str">
        <f ca="1">CELL("address",'DCF MONTE CARLO'!$J$17)</f>
        <v>'[ROADZEN DCF V.2.xlsx]DCF MONTE CARLO'!$J$17</v>
      </c>
    </row>
    <row r="81" spans="1:2">
      <c r="A81">
        <f>_xll.RTSM('DCF MONTE CARLO'!H14,(_xll.RTSA(1,'DCF MONTE CARLO'!$L$16)))</f>
        <v>75730.197089075911</v>
      </c>
      <c r="B81" t="str">
        <f ca="1">CELL("address",'DCF MONTE CARLO'!$I$14)</f>
        <v>'[ROADZEN DCF V.2.xlsx]DCF MONTE CARLO'!$I$14</v>
      </c>
    </row>
    <row r="82" spans="1:2">
      <c r="A82">
        <f>_xll.RTSM('DCF MONTE CARLO'!I14,(_xll.RTSA(1,'DCF MONTE CARLO'!$L$16)))</f>
        <v>88906.985783393087</v>
      </c>
      <c r="B82" t="str">
        <f ca="1">CELL("address",'DCF MONTE CARLO'!$J$14)</f>
        <v>'[ROADZEN DCF V.2.xlsx]DCF MONTE CARLO'!$J$14</v>
      </c>
    </row>
    <row r="83" spans="1:2">
      <c r="A83">
        <f>_xll.RTSM('DCF MONTE CARLO'!G14,(_xll.RTSA(1,'DCF MONTE CARLO'!$L$16)))</f>
        <v>64506.323104044903</v>
      </c>
      <c r="B83" t="str">
        <f ca="1">CELL("address",'DCF MONTE CARLO'!$H$14)</f>
        <v>'[ROADZEN DCF V.2.xlsx]DCF MONTE CARLO'!$H$14</v>
      </c>
    </row>
    <row r="84" spans="1:2">
      <c r="A84">
        <f>_xll.RTSD('DCF MONTE CARLO'!J21,_xll.RTSP(_xll.RTSSUM(_xll.RTSA(1,'DCF MONTE CARLO'!J22)),'DCF MONTE CARLO'!J8))</f>
        <v>42288.680997455027</v>
      </c>
      <c r="B84" t="str">
        <f ca="1">CELL("address",'DCF MONTE CARLO'!$J$23)</f>
        <v>'[ROADZEN DCF V.2.xlsx]DCF MONTE CARLO'!$J$23</v>
      </c>
    </row>
    <row r="85" spans="1:2">
      <c r="A85">
        <f>_xll.RTSSUM('DCF MONTE CARLO'!F23:J23)</f>
        <v>122334.11789352013</v>
      </c>
      <c r="B85" t="str">
        <f ca="1">CELL("address",'DCF MONTE CARLO'!$F$26)</f>
        <v>'[ROADZEN DCF V.2.xlsx]DCF MONTE CARLO'!$F$26</v>
      </c>
    </row>
    <row r="86" spans="1:2">
      <c r="A86">
        <f>_xll.RTS('DCF MONTE CARLO'!$F$49)</f>
        <v>0.10076495222322882</v>
      </c>
      <c r="B86" t="str">
        <f ca="1">CELL("address",'DCF MONTE CARLO'!$I$22)</f>
        <v>'[ROADZEN DCF V.2.xlsx]DCF MONTE CARLO'!$I$22</v>
      </c>
    </row>
    <row r="87" spans="1:2">
      <c r="A87">
        <f>_xll.RTSD('DCF MONTE CARLO'!I21,_xll.RTSP(_xll.RTSSUM(_xll.RTSA(1,'DCF MONTE CARLO'!I22)),'DCF MONTE CARLO'!I8))</f>
        <v>37927.22470072921</v>
      </c>
      <c r="B87" t="str">
        <f ca="1">CELL("address",'DCF MONTE CARLO'!$I$23)</f>
        <v>'[ROADZEN DCF V.2.xlsx]DCF MONTE CARLO'!$I$23</v>
      </c>
    </row>
    <row r="88" spans="1:2">
      <c r="A88">
        <f>_xll.RTSSUM('DCF MONTE CARLO'!I14,'DCF MONTE CARLO'!I17:I19)</f>
        <v>55683.873510683086</v>
      </c>
      <c r="B88" t="str">
        <f ca="1">CELL("address",'DCF MONTE CARLO'!$I$21)</f>
        <v>'[ROADZEN DCF V.2.xlsx]DCF MONTE CARLO'!$I$21</v>
      </c>
    </row>
    <row r="89" spans="1:2">
      <c r="A89">
        <f>_xll.RTS('CF(WIP)'!K26)</f>
        <v>-19173.996000000148</v>
      </c>
      <c r="B89" t="str">
        <f ca="1">CELL("address",'DCF MONTE CARLO'!$I$19)</f>
        <v>'[ROADZEN DCF V.2.xlsx]DCF MONTE CARLO'!$I$19</v>
      </c>
    </row>
    <row r="90" spans="1:2">
      <c r="A90">
        <f>_xll.RTSSUM('CF(WIP)'!K9:K21)</f>
        <v>-2459.0162450593543</v>
      </c>
      <c r="B90" t="str">
        <f ca="1">CELL("address",'CF(WIP)'!$K$22)</f>
        <v>'[ROADZEN DCF V.2.xlsx]CF(WIP)'!$K$22</v>
      </c>
    </row>
    <row r="91" spans="1:2">
      <c r="A91">
        <f>_xll.RTS('CF(WIP)'!K22)</f>
        <v>-2459.0162450593543</v>
      </c>
      <c r="B91" t="str">
        <f ca="1">CELL("address",'DCF MONTE CARLO'!$I$18)</f>
        <v>'[ROADZEN DCF V.2.xlsx]DCF MONTE CARLO'!$I$18</v>
      </c>
    </row>
    <row r="92" spans="1:2">
      <c r="A92">
        <f>_xll.RTS('CF(WIP)'!K9)</f>
        <v>1586.6886666666724</v>
      </c>
      <c r="B92" t="str">
        <f ca="1">CELL("address",'DCF MONTE CARLO'!$I$11)</f>
        <v>'[ROADZEN DCF V.2.xlsx]DCF MONTE CARLO'!$I$11</v>
      </c>
    </row>
    <row r="93" spans="1:2">
      <c r="A93">
        <f>_xll.RTS('DCF MONTE CARLO'!I11)</f>
        <v>1586.6886666666724</v>
      </c>
      <c r="B93" t="str">
        <f ca="1">CELL("address",'DCF MONTE CARLO'!$I$17)</f>
        <v>'[ROADZEN DCF V.2.xlsx]DCF MONTE CARLO'!$I$17</v>
      </c>
    </row>
    <row r="94" spans="1:2">
      <c r="A94">
        <f>_xll.RTS('DCF MONTE CARLO'!$F$49)</f>
        <v>0.10076495222322882</v>
      </c>
      <c r="B94" t="str">
        <f ca="1">CELL("address",'DCF MONTE CARLO'!$H$22)</f>
        <v>'[ROADZEN DCF V.2.xlsx]DCF MONTE CARLO'!$H$22</v>
      </c>
    </row>
    <row r="95" spans="1:2">
      <c r="A95">
        <f>_xll.RTSD('DCF MONTE CARLO'!H21,_xll.RTSP(_xll.RTSSUM(_xll.RTSA(1,'DCF MONTE CARLO'!H22)),'DCF MONTE CARLO'!H8))</f>
        <v>33182.699864636961</v>
      </c>
      <c r="B95" t="str">
        <f ca="1">CELL("address",'DCF MONTE CARLO'!$H$23)</f>
        <v>'[ROADZEN DCF V.2.xlsx]DCF MONTE CARLO'!$H$23</v>
      </c>
    </row>
    <row r="96" spans="1:2">
      <c r="A96">
        <f>_xll.RTSSUM('DCF MONTE CARLO'!H14,'DCF MONTE CARLO'!H17:H19)</f>
        <v>44258.378554044917</v>
      </c>
      <c r="B96" t="str">
        <f ca="1">CELL("address",'DCF MONTE CARLO'!$H$21)</f>
        <v>'[ROADZEN DCF V.2.xlsx]DCF MONTE CARLO'!$H$21</v>
      </c>
    </row>
    <row r="97" spans="1:2">
      <c r="A97">
        <f>_xll.RTS('CF(WIP)'!J26)</f>
        <v>-21304.440000000166</v>
      </c>
      <c r="B97" t="str">
        <f ca="1">CELL("address",'DCF MONTE CARLO'!$H$19)</f>
        <v>'[ROADZEN DCF V.2.xlsx]DCF MONTE CARLO'!$H$19</v>
      </c>
    </row>
    <row r="98" spans="1:2">
      <c r="A98">
        <f>_xll.RTSSUM('CF(WIP)'!J9:J21)</f>
        <v>-404.4092166665032</v>
      </c>
      <c r="B98" t="str">
        <f ca="1">CELL("address",'CF(WIP)'!$J$22)</f>
        <v>'[ROADZEN DCF V.2.xlsx]CF(WIP)'!$J$22</v>
      </c>
    </row>
    <row r="99" spans="1:2">
      <c r="A99">
        <f>_xll.RTS('CF(WIP)'!J22)</f>
        <v>-404.4092166665032</v>
      </c>
      <c r="B99" t="str">
        <f ca="1">CELL("address",'DCF MONTE CARLO'!$H$18)</f>
        <v>'[ROADZEN DCF V.2.xlsx]DCF MONTE CARLO'!$H$18</v>
      </c>
    </row>
    <row r="100" spans="1:2">
      <c r="A100">
        <f>_xll.RTS('CF(WIP)'!J9)</f>
        <v>1460.9046666666836</v>
      </c>
      <c r="B100" t="str">
        <f ca="1">CELL("address",'DCF MONTE CARLO'!$H$11)</f>
        <v>'[ROADZEN DCF V.2.xlsx]DCF MONTE CARLO'!$H$11</v>
      </c>
    </row>
    <row r="101" spans="1:2">
      <c r="A101">
        <f>_xll.RTS('DCF MONTE CARLO'!H11)</f>
        <v>1460.9046666666836</v>
      </c>
      <c r="B101" t="str">
        <f ca="1">CELL("address",'DCF MONTE CARLO'!$H$17)</f>
        <v>'[ROADZEN DCF V.2.xlsx]DCF MONTE CARLO'!$H$17</v>
      </c>
    </row>
    <row r="102" spans="1:2">
      <c r="A102">
        <f>_xll.RTS('DCF MONTE CARLO'!$F$49)</f>
        <v>0.10076495222322882</v>
      </c>
      <c r="B102" t="str">
        <f ca="1">CELL("address",'DCF MONTE CARLO'!$G$22)</f>
        <v>'[ROADZEN DCF V.2.xlsx]DCF MONTE CARLO'!$G$22</v>
      </c>
    </row>
    <row r="103" spans="1:2">
      <c r="A103">
        <f>_xll.RTSD('DCF MONTE CARLO'!G21,_xll.RTSP(_xll.RTSSUM(_xll.RTSA(1,'DCF MONTE CARLO'!G22)),'DCF MONTE CARLO'!G8))</f>
        <v>28774.922208855878</v>
      </c>
      <c r="B103" t="str">
        <f ca="1">CELL("address",'DCF MONTE CARLO'!$G$23)</f>
        <v>'[ROADZEN DCF V.2.xlsx]DCF MONTE CARLO'!$G$23</v>
      </c>
    </row>
    <row r="104" spans="1:2">
      <c r="A104">
        <f>_xll.RTSSUM('DCF MONTE CARLO'!G14,'DCF MONTE CARLO'!G17:G19)</f>
        <v>34866.097879993307</v>
      </c>
      <c r="B104" t="str">
        <f ca="1">CELL("address",'DCF MONTE CARLO'!$G$21)</f>
        <v>'[ROADZEN DCF V.2.xlsx]DCF MONTE CARLO'!$G$21</v>
      </c>
    </row>
    <row r="105" spans="1:2">
      <c r="A105">
        <f>_xll.RTS('CF(WIP)'!I26)</f>
        <v>-23671.600000000184</v>
      </c>
      <c r="B105" t="str">
        <f ca="1">CELL("address",'DCF MONTE CARLO'!$G$19)</f>
        <v>'[ROADZEN DCF V.2.xlsx]DCF MONTE CARLO'!$G$19</v>
      </c>
    </row>
    <row r="106" spans="1:2">
      <c r="A106">
        <f>_xll.RTSSUM('CF(WIP)'!I9:I21)</f>
        <v>1942.1923333337254</v>
      </c>
      <c r="B106" t="str">
        <f ca="1">CELL("address",'CF(WIP)'!$I$22)</f>
        <v>'[ROADZEN DCF V.2.xlsx]CF(WIP)'!$I$22</v>
      </c>
    </row>
    <row r="107" spans="1:2">
      <c r="A107">
        <f>_xll.RTS('CF(WIP)'!I22)</f>
        <v>1942.1923333337254</v>
      </c>
      <c r="B107" t="str">
        <f ca="1">CELL("address",'DCF MONTE CARLO'!$G$18)</f>
        <v>'[ROADZEN DCF V.2.xlsx]DCF MONTE CARLO'!$G$18</v>
      </c>
    </row>
    <row r="108" spans="1:2">
      <c r="A108">
        <f>_xll.RTS('CF(WIP)'!I9)</f>
        <v>1649.5806666666613</v>
      </c>
      <c r="B108" t="str">
        <f ca="1">CELL("address",'DCF MONTE CARLO'!$G$11)</f>
        <v>'[ROADZEN DCF V.2.xlsx]DCF MONTE CARLO'!$G$11</v>
      </c>
    </row>
    <row r="109" spans="1:2">
      <c r="A109">
        <f>_xll.RTS('DCF MONTE CARLO'!G11)</f>
        <v>1649.5806666666613</v>
      </c>
      <c r="B109" t="str">
        <f ca="1">CELL("address",'DCF MONTE CARLO'!$G$17)</f>
        <v>'[ROADZEN DCF V.2.xlsx]DCF MONTE CARLO'!$G$17</v>
      </c>
    </row>
    <row r="110" spans="1:2">
      <c r="A110">
        <f>_xll.RTS('DCF MONTE CARLO'!$F$49)</f>
        <v>0.10076495222322882</v>
      </c>
      <c r="B110" t="str">
        <f ca="1">CELL("address",'DCF MONTE CARLO'!$F$22)</f>
        <v>'[ROADZEN DCF V.2.xlsx]DCF MONTE CARLO'!$F$22</v>
      </c>
    </row>
    <row r="111" spans="1:2">
      <c r="A111">
        <f>_xll.RTSD('DCF MONTE CARLO'!F21,_xll.RTSP(_xll.RTSSUM(_xll.RTSA(1,'DCF MONTE CARLO'!F22)),'DCF MONTE CARLO'!F8))</f>
        <v>-19839.409878156937</v>
      </c>
      <c r="B111" t="str">
        <f ca="1">CELL("address",'DCF MONTE CARLO'!$F$23)</f>
        <v>'[ROADZEN DCF V.2.xlsx]DCF MONTE CARLO'!$F$23</v>
      </c>
    </row>
    <row r="112" spans="1:2">
      <c r="A112">
        <f>_xll.RTS('CF(WIP)'!H26)</f>
        <v>-19726.333333333489</v>
      </c>
      <c r="B112" t="str">
        <f ca="1">CELL("address",'DCF MONTE CARLO'!$F$19)</f>
        <v>'[ROADZEN DCF V.2.xlsx]DCF MONTE CARLO'!$F$19</v>
      </c>
    </row>
    <row r="113" spans="1:2">
      <c r="A113">
        <f>_xll.RTSSUM('DCF MONTE CARLO'!F14,'DCF MONTE CARLO'!F17:F19)</f>
        <v>-21838.527066666473</v>
      </c>
      <c r="B113" t="str">
        <f ca="1">CELL("address",'DCF MONTE CARLO'!$F$21)</f>
        <v>'[ROADZEN DCF V.2.xlsx]DCF MONTE CARLO'!$F$21</v>
      </c>
    </row>
    <row r="114" spans="1:2">
      <c r="A114">
        <f>_xll.RTSSUM('CF(WIP)'!H9:H21)</f>
        <v>4265.6783333334333</v>
      </c>
      <c r="B114" t="str">
        <f ca="1">CELL("address",'CF(WIP)'!$H$22)</f>
        <v>'[ROADZEN DCF V.2.xlsx]CF(WIP)'!$H$22</v>
      </c>
    </row>
    <row r="115" spans="1:2">
      <c r="A115">
        <f>_xll.RTS('CF(WIP)'!H22)</f>
        <v>4265.6783333334333</v>
      </c>
      <c r="B115" t="str">
        <f ca="1">CELL("address",'DCF MONTE CARLO'!$F$18)</f>
        <v>'[ROADZEN DCF V.2.xlsx]DCF MONTE CARLO'!$F$18</v>
      </c>
    </row>
    <row r="116" spans="1:2">
      <c r="A116">
        <f>_xll.RTS('CF(WIP)'!H9)</f>
        <v>1602.4116666666669</v>
      </c>
      <c r="B116" t="str">
        <f ca="1">CELL("address",'DCF MONTE CARLO'!$F$11)</f>
        <v>'[ROADZEN DCF V.2.xlsx]DCF MONTE CARLO'!$F$11</v>
      </c>
    </row>
    <row r="117" spans="1:2">
      <c r="A117">
        <f>_xll.RTS('DCF MONTE CARLO'!F11)</f>
        <v>1602.4116666666669</v>
      </c>
      <c r="B117" t="str">
        <f ca="1">CELL("address",'DCF MONTE CARLO'!$F$17)</f>
        <v>'[ROADZEN DCF V.2.xlsx]DCF MONTE CARLO'!$F$17</v>
      </c>
    </row>
    <row r="118" spans="1:2">
      <c r="A118">
        <f>_xll.RTSD((_xll.RTSS('DCF MONTE CARLO'!L36,'DCF MONTE CARLO'!D57)),'DCF MONTE CARLO'!D59)</f>
        <v>4.3536540600465301</v>
      </c>
      <c r="B118" t="str">
        <f ca="1">CELL("address",'DCF MONTE CARLO'!$L$38)</f>
        <v>'[ROADZEN DCF V.2.xlsx]DCF MONTE CARLO'!$L$38</v>
      </c>
    </row>
    <row r="119" spans="1:2">
      <c r="A119">
        <f>_xll.RTS('DCF MONTE CARLO'!L38)</f>
        <v>4.3536540600465301</v>
      </c>
      <c r="B119" t="str">
        <f ca="1">CELL("address",'DCF MONTE CARLO'!$D$63)</f>
        <v>'[ROADZEN DCF V.2.xlsx]DCF MONTE CARLO'!$D$63</v>
      </c>
    </row>
    <row r="120" spans="1:2">
      <c r="A120">
        <f>_xll.RTSM('DCF MONTE CARLO'!H9,(_xll.RTSA(1,'DCF MONTE CARLO'!$L$11)))</f>
        <v>74832.159548691125</v>
      </c>
      <c r="B120" t="str">
        <f ca="1">CELL("address",'DCF MONTE CARLO'!$I$9)</f>
        <v>'[ROADZEN DCF V.2.xlsx]DCF MONTE CARLO'!$I$9</v>
      </c>
    </row>
    <row r="121" spans="1:2">
      <c r="A121">
        <f>_xll.RTSM('DCF MONTE CARLO'!I9,(_xll.RTSA(1,'DCF MONTE CARLO'!$L$11)))</f>
        <v>89883.190588736368</v>
      </c>
      <c r="B121" t="str">
        <f ca="1">CELL("address",'DCF MONTE CARLO'!$J$9)</f>
        <v>'[ROADZEN DCF V.2.xlsx]DCF MONTE CARLO'!$J$9</v>
      </c>
    </row>
    <row r="122" spans="1:2">
      <c r="A122">
        <f>_xll.RTSD('DCF MONTE CARLO'!$D$56,'DCF MONTE CARLO'!J9)</f>
        <v>6.8089674879534279</v>
      </c>
      <c r="B122" t="str">
        <f ca="1">CELL("address",'DCF MONTE CARLO'!$J$65)</f>
        <v>'[ROADZEN DCF V.2.xlsx]DCF MONTE CARLO'!$J$65</v>
      </c>
    </row>
    <row r="123" spans="1:2">
      <c r="A123">
        <f>_xll.RTSM('DCF MONTE CARLO'!I20,'DCF MONTE CARLO'!J65)</f>
        <v>358912.67368028534</v>
      </c>
      <c r="B123" t="str">
        <f ca="1">CELL("address",'DCF MONTE CARLO'!$L$34)</f>
        <v>'[ROADZEN DCF V.2.xlsx]DCF MONTE CARLO'!$L$34</v>
      </c>
    </row>
    <row r="124" spans="1:2">
      <c r="A124">
        <f>_xll.RTSSUM('DCF MONTE CARLO'!L34:L35)</f>
        <v>358912.67368028534</v>
      </c>
      <c r="B124" t="str">
        <f ca="1">CELL("address",'DCF MONTE CARLO'!$L$36)</f>
        <v>'[ROADZEN DCF V.2.xlsx]DCF MONTE CARLO'!$L$36</v>
      </c>
    </row>
    <row r="125" spans="1:2">
      <c r="A125">
        <f>_xll.RTSM('DCF MONTE CARLO'!G9,(_xll.RTSA(1,'DCF MONTE CARLO'!$L$11)))</f>
        <v>62301.438856827859</v>
      </c>
      <c r="B125" t="str">
        <f ca="1">CELL("address",'DCF MONTE CARLO'!$H$9)</f>
        <v>'[ROADZEN DCF V.2.xlsx]DCF MONTE CARLO'!$H$9</v>
      </c>
    </row>
    <row r="126" spans="1:2">
      <c r="A126">
        <f>_xll.RTSD('DCF MONTE CARLO'!D32,_xll.RTSP(_xll.RTSSUM(_xll.RTSA(1,'DCF MONTE CARLO'!J22)),'DCF MONTE CARLO'!J8))</f>
        <v>513328.17877649289</v>
      </c>
      <c r="B126" t="str">
        <f ca="1">CELL("address",'DCF MONTE CARLO'!$D$33)</f>
        <v>'[ROADZEN DCF V.2.xlsx]DCF MONTE CARLO'!$D$33</v>
      </c>
    </row>
    <row r="127" spans="1:2">
      <c r="A127">
        <f>_xll.RTSA('DCF MONTE CARLO'!D26,'DCF MONTE CARLO'!D33)</f>
        <v>612011.72243222746</v>
      </c>
      <c r="B127" t="str">
        <f ca="1">CELL("address",'DCF MONTE CARLO'!$D$56)</f>
        <v>'[ROADZEN DCF V.2.xlsx]DCF MONTE CARLO'!$D$56</v>
      </c>
    </row>
    <row r="128" spans="1:2">
      <c r="A128">
        <f>_xll.RTS('DCF MONTE CARLO'!F49)</f>
        <v>0.10076495222322882</v>
      </c>
      <c r="B128" t="str">
        <f ca="1">CELL("address",'DCF MONTE CARLO'!$D$30)</f>
        <v>'[ROADZEN DCF V.2.xlsx]DCF MONTE CARLO'!$D$30</v>
      </c>
    </row>
    <row r="129" spans="1:2">
      <c r="A129">
        <f>_xll.RTSD('DCF MONTE CARLO'!D31,_xll.RTSSUM(_xll.RTSS('DCF MONTE CARLO'!D30,'DCF MONTE CARLO'!D29)))</f>
        <v>829598.71792036144</v>
      </c>
      <c r="B129" t="str">
        <f ca="1">CELL("address",'DCF MONTE CARLO'!$D$32)</f>
        <v>'[ROADZEN DCF V.2.xlsx]DCF MONTE CARLO'!$D$32</v>
      </c>
    </row>
    <row r="130" spans="1:2">
      <c r="A130">
        <f>_xll.RTSM('DCF MONTE CARLO'!J20,_xll.RTSSUM(_xll.RTSA(1,'DCF MONTE CARLO'!D29)))</f>
        <v>67002.500817289867</v>
      </c>
      <c r="B130" t="str">
        <f ca="1">CELL("address",'DCF MONTE CARLO'!$D$31)</f>
        <v>'[ROADZEN DCF V.2.xlsx]DCF MONTE CARLO'!$D$31</v>
      </c>
    </row>
    <row r="131" spans="1:2">
      <c r="A131">
        <f>_xll.RTSSUM('DCF MONTE CARLO'!J16:J19)</f>
        <v>65688.726291460654</v>
      </c>
      <c r="B131" t="str">
        <f ca="1">CELL("address",'DCF MONTE CARLO'!$J$20)</f>
        <v>'[ROADZEN DCF V.2.xlsx]DCF MONTE CARLO'!$J$20</v>
      </c>
    </row>
    <row r="132" spans="1:2">
      <c r="A132">
        <f>_xll.RTSS('DCF MONTE CARLO'!J9,'DCF MONTE CARLO'!J11)</f>
        <v>88380.35792206967</v>
      </c>
      <c r="B132" t="str">
        <f ca="1">CELL("address",'DCF MONTE CARLO'!$J$12)</f>
        <v>'[ROADZEN DCF V.2.xlsx]DCF MONTE CARLO'!$J$12</v>
      </c>
    </row>
    <row r="133" spans="1:2">
      <c r="A133">
        <f>_xll.RTSA('DCF MONTE CARLO'!J12,'DCF MONTE CARLO'!J13)</f>
        <v>86252.229311739939</v>
      </c>
      <c r="B133" t="str">
        <f ca="1">CELL("address",'DCF MONTE CARLO'!$J$16)</f>
        <v>'[ROADZEN DCF V.2.xlsx]DCF MONTE CARLO'!$J$16</v>
      </c>
    </row>
    <row r="134" spans="1:2">
      <c r="A134">
        <f>_xll.RTSD('DCF MONTE CARLO'!J20,_xll.RTSP(_xll.RTSSUM(_xll.RTSA(1,'DCF MONTE CARLO'!J22)),'DCF MONTE CARLO'!J8))</f>
        <v>40646.005719333829</v>
      </c>
      <c r="B134" t="str">
        <f ca="1">CELL("address",'DCF MONTE CARLO'!$J$24)</f>
        <v>'[ROADZEN DCF V.2.xlsx]DCF MONTE CARLO'!$J$24</v>
      </c>
    </row>
    <row r="135" spans="1:2">
      <c r="A135">
        <f>_xll.RTSSUM('DCF MONTE CARLO'!F24:J24)</f>
        <v>98683.543655734553</v>
      </c>
      <c r="B135" t="str">
        <f ca="1">CELL("address",'DCF MONTE CARLO'!$D$26)</f>
        <v>'[ROADZEN DCF V.2.xlsx]DCF MONTE CARLO'!$D$26</v>
      </c>
    </row>
    <row r="136" spans="1:2">
      <c r="A136">
        <f>_xll.RTSD('DCF MONTE CARLO'!I20,_xll.RTSP(_xll.RTSSUM(_xll.RTSA(1,'DCF MONTE CARLO'!I22)),'DCF MONTE CARLO'!I8))</f>
        <v>35902.869460106391</v>
      </c>
      <c r="B136" t="str">
        <f ca="1">CELL("address",'DCF MONTE CARLO'!$I$24)</f>
        <v>'[ROADZEN DCF V.2.xlsx]DCF MONTE CARLO'!$I$24</v>
      </c>
    </row>
    <row r="137" spans="1:2">
      <c r="A137">
        <f>_xll.RTSSUM('DCF MONTE CARLO'!I16:I19)</f>
        <v>52711.761998464732</v>
      </c>
      <c r="B137" t="str">
        <f ca="1">CELL("address",'DCF MONTE CARLO'!$I$20)</f>
        <v>'[ROADZEN DCF V.2.xlsx]DCF MONTE CARLO'!$I$20</v>
      </c>
    </row>
    <row r="138" spans="1:2">
      <c r="A138">
        <f>_xll.RTS(IS!K18)</f>
        <v>-487.38530516689502</v>
      </c>
      <c r="B138" t="str">
        <f ca="1">CELL("address",'DCF MONTE CARLO'!$I$13)</f>
        <v>'[ROADZEN DCF V.2.xlsx]DCF MONTE CARLO'!$I$13</v>
      </c>
    </row>
    <row r="139" spans="1:2">
      <c r="A139">
        <f>_xll.RTSA('DCF MONTE CARLO'!I12,'DCF MONTE CARLO'!I13)</f>
        <v>72758.085576857557</v>
      </c>
      <c r="B139" t="str">
        <f ca="1">CELL("address",'DCF MONTE CARLO'!$I$16)</f>
        <v>'[ROADZEN DCF V.2.xlsx]DCF MONTE CARLO'!$I$16</v>
      </c>
    </row>
    <row r="140" spans="1:2">
      <c r="A140">
        <f>_xll.RTSS('DCF MONTE CARLO'!I9,'DCF MONTE CARLO'!I11)</f>
        <v>73245.470882024456</v>
      </c>
      <c r="B140" t="str">
        <f ca="1">CELL("address",'DCF MONTE CARLO'!$I$12)</f>
        <v>'[ROADZEN DCF V.2.xlsx]DCF MONTE CARLO'!$I$12</v>
      </c>
    </row>
    <row r="141" spans="1:2">
      <c r="A141">
        <f>_xll.RTSD('DCF MONTE CARLO'!H20,_xll.RTSP(_xll.RTSSUM(_xll.RTSA(1,'DCF MONTE CARLO'!H22)),'DCF MONTE CARLO'!H8))</f>
        <v>27324.608839854904</v>
      </c>
      <c r="B141" t="str">
        <f ca="1">CELL("address",'DCF MONTE CARLO'!$H$24)</f>
        <v>'[ROADZEN DCF V.2.xlsx]DCF MONTE CARLO'!$H$24</v>
      </c>
    </row>
    <row r="142" spans="1:2">
      <c r="A142">
        <f>_xll.RTSSUM('DCF MONTE CARLO'!H16:H19)</f>
        <v>36444.981475552137</v>
      </c>
      <c r="B142" t="str">
        <f ca="1">CELL("address",'DCF MONTE CARLO'!$H$20)</f>
        <v>'[ROADZEN DCF V.2.xlsx]DCF MONTE CARLO'!$H$20</v>
      </c>
    </row>
    <row r="143" spans="1:2">
      <c r="A143">
        <f>_xll.RTS(IS!J18)</f>
        <v>-4147.6081646090533</v>
      </c>
      <c r="B143" t="str">
        <f ca="1">CELL("address",'DCF MONTE CARLO'!$H$13)</f>
        <v>'[ROADZEN DCF V.2.xlsx]DCF MONTE CARLO'!$H$13</v>
      </c>
    </row>
    <row r="144" spans="1:2">
      <c r="A144">
        <f>_xll.RTSA('DCF MONTE CARLO'!H12,'DCF MONTE CARLO'!H13)</f>
        <v>56692.926025552122</v>
      </c>
      <c r="B144" t="str">
        <f ca="1">CELL("address",'DCF MONTE CARLO'!$H$16)</f>
        <v>'[ROADZEN DCF V.2.xlsx]DCF MONTE CARLO'!$H$16</v>
      </c>
    </row>
    <row r="145" spans="1:2">
      <c r="A145">
        <f>_xll.RTSS('DCF MONTE CARLO'!H9,'DCF MONTE CARLO'!H11)</f>
        <v>60840.534190161176</v>
      </c>
      <c r="B145" t="str">
        <f ca="1">CELL("address",'DCF MONTE CARLO'!$H$12)</f>
        <v>'[ROADZEN DCF V.2.xlsx]DCF MONTE CARLO'!$H$12</v>
      </c>
    </row>
    <row r="146" spans="1:2">
      <c r="A146">
        <f>_xll.RTSD('DCF MONTE CARLO'!G20,_xll.RTSP(_xll.RTSSUM(_xll.RTSA(1,'DCF MONTE CARLO'!G22)),'DCF MONTE CARLO'!G8))</f>
        <v>21413.043322940364</v>
      </c>
      <c r="B146" t="str">
        <f ca="1">CELL("address",'DCF MONTE CARLO'!$G$24)</f>
        <v>'[ROADZEN DCF V.2.xlsx]DCF MONTE CARLO'!$G$24</v>
      </c>
    </row>
    <row r="147" spans="1:2">
      <c r="A147">
        <f>_xll.RTSSUM('DCF MONTE CARLO'!G16:G19)</f>
        <v>25945.830851852061</v>
      </c>
      <c r="B147" t="str">
        <f ca="1">CELL("address",'DCF MONTE CARLO'!$G$20)</f>
        <v>'[ROADZEN DCF V.2.xlsx]DCF MONTE CARLO'!$G$20</v>
      </c>
    </row>
    <row r="148" spans="1:2">
      <c r="A148">
        <f>_xll.RTS(IS!I18)</f>
        <v>-4193.7614814814815</v>
      </c>
      <c r="B148" t="str">
        <f ca="1">CELL("address",'DCF MONTE CARLO'!$G$13)</f>
        <v>'[ROADZEN DCF V.2.xlsx]DCF MONTE CARLO'!$G$13</v>
      </c>
    </row>
    <row r="149" spans="1:2">
      <c r="A149">
        <f>_xll.RTSA('DCF MONTE CARLO'!G12,'DCF MONTE CARLO'!G13)</f>
        <v>46025.657851851858</v>
      </c>
      <c r="B149" t="str">
        <f ca="1">CELL("address",'DCF MONTE CARLO'!$G$16)</f>
        <v>'[ROADZEN DCF V.2.xlsx]DCF MONTE CARLO'!$G$16</v>
      </c>
    </row>
    <row r="150" spans="1:2">
      <c r="A150">
        <f>_xll.RTSS('DCF MONTE CARLO'!G9,'DCF MONTE CARLO'!G11)</f>
        <v>50219.419333333339</v>
      </c>
      <c r="B150" t="str">
        <f ca="1">CELL("address",'DCF MONTE CARLO'!$G$12)</f>
        <v>'[ROADZEN DCF V.2.xlsx]DCF MONTE CARLO'!$G$12</v>
      </c>
    </row>
    <row r="151" spans="1:2">
      <c r="A151">
        <f>_xll.RTSD('DCF MONTE CARLO'!F20,_xll.RTSP(_xll.RTSSUM(_xll.RTSA(1,'DCF MONTE CARLO'!F22)),'DCF MONTE CARLO'!F8))</f>
        <v>-26602.983686500931</v>
      </c>
      <c r="B151" t="str">
        <f ca="1">CELL("address",'DCF MONTE CARLO'!$F$24)</f>
        <v>'[ROADZEN DCF V.2.xlsx]DCF MONTE CARLO'!$F$24</v>
      </c>
    </row>
    <row r="152" spans="1:2">
      <c r="A152">
        <f>_xll.RTSSUM('DCF MONTE CARLO'!F16:F19)</f>
        <v>-29283.632066666534</v>
      </c>
      <c r="B152" t="str">
        <f ca="1">CELL("address",'DCF MONTE CARLO'!$F$20)</f>
        <v>'[ROADZEN DCF V.2.xlsx]DCF MONTE CARLO'!$F$20</v>
      </c>
    </row>
    <row r="153" spans="1:2">
      <c r="A153">
        <f>_xll.RTS(IS!H18)</f>
        <v>-3327.1333333333337</v>
      </c>
      <c r="B153" t="str">
        <f ca="1">CELL("address",'DCF MONTE CARLO'!$F$13)</f>
        <v>'[ROADZEN DCF V.2.xlsx]DCF MONTE CARLO'!$F$13</v>
      </c>
    </row>
    <row r="154" spans="1:2">
      <c r="A154">
        <f>_xll.RTSA('DCF MONTE CARLO'!F12,'DCF MONTE CARLO'!F13)</f>
        <v>-15425.388733333148</v>
      </c>
      <c r="B154" t="str">
        <f ca="1">CELL("address",'DCF MONTE CARLO'!$F$16)</f>
        <v>'[ROADZEN DCF V.2.xlsx]DCF MONTE CARLO'!$F$16</v>
      </c>
    </row>
    <row r="155" spans="1:2">
      <c r="A155">
        <f>_xll.RTSS('DCF MONTE CARLO'!F9,'DCF MONTE CARLO'!F11)</f>
        <v>-12098.255399999814</v>
      </c>
      <c r="B155" t="str">
        <f ca="1">CELL("address",'DCF MONTE CARLO'!$F$12)</f>
        <v>'[ROADZEN DCF V.2.xlsx]DCF MONTE CARLO'!$F$12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E0254-CD36-47AF-A73E-C18EB7A33809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Dashboard</vt:lpstr>
      <vt:lpstr>Scenario Analysis</vt:lpstr>
      <vt:lpstr>BS</vt:lpstr>
      <vt:lpstr>IS</vt:lpstr>
      <vt:lpstr>CF(WIP)</vt:lpstr>
      <vt:lpstr>RA</vt:lpstr>
      <vt:lpstr>DCF</vt:lpstr>
      <vt:lpstr>DCF MONTE CARLO</vt:lpstr>
      <vt:lpstr>ARIMA trend analysis</vt:lpstr>
      <vt:lpstr>worst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K.Tomov</dc:creator>
  <cp:lastModifiedBy>K.T</cp:lastModifiedBy>
  <cp:lastPrinted>2024-01-05T00:08:43Z</cp:lastPrinted>
  <dcterms:created xsi:type="dcterms:W3CDTF">2024-01-04T19:41:57Z</dcterms:created>
  <dcterms:modified xsi:type="dcterms:W3CDTF">2024-04-03T18:30:31Z</dcterms:modified>
</cp:coreProperties>
</file>