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85"/>
  </bookViews>
  <sheets>
    <sheet name="Normal (2)" sheetId="2" r:id="rId1"/>
  </sheets>
  <definedNames>
    <definedName name="solver_adj" localSheetId="0" hidden="1">'Normal (2)'!$M$3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'Normal (2)'!$O$13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2" l="1"/>
  <c r="Z2" i="2"/>
  <c r="Z82" i="2"/>
  <c r="P82" i="2"/>
  <c r="B1" i="2" l="1"/>
  <c r="E1" i="2" s="1"/>
  <c r="D4" i="2" s="1"/>
  <c r="C1" i="2"/>
  <c r="A5" i="2"/>
  <c r="A6" i="2" s="1"/>
  <c r="B5" i="2"/>
  <c r="B6" i="2" s="1"/>
  <c r="C5" i="2"/>
  <c r="C6" i="2" s="1"/>
  <c r="N5" i="2"/>
  <c r="O5" i="2"/>
  <c r="O20" i="2" s="1"/>
  <c r="N6" i="2"/>
  <c r="N7" i="2" s="1"/>
  <c r="N20" i="2"/>
  <c r="N32" i="2"/>
  <c r="N33" i="2"/>
  <c r="N34" i="2"/>
  <c r="S40" i="2"/>
  <c r="R40" i="2" s="1"/>
  <c r="Q40" i="2" s="1"/>
  <c r="Y40" i="2" s="1"/>
  <c r="V50" i="2" s="1"/>
  <c r="X42" i="2"/>
  <c r="X41" i="2" s="1"/>
  <c r="P43" i="2"/>
  <c r="P44" i="2" s="1"/>
  <c r="P45" i="2" s="1"/>
  <c r="X44" i="2"/>
  <c r="X45" i="2" s="1"/>
  <c r="U53" i="2"/>
  <c r="U52" i="2" s="1"/>
  <c r="U51" i="2" s="1"/>
  <c r="P66" i="2"/>
  <c r="R66" i="2"/>
  <c r="S66" i="2"/>
  <c r="N67" i="2"/>
  <c r="Q66" i="2" s="1"/>
  <c r="P67" i="2"/>
  <c r="R67" i="2"/>
  <c r="S67" i="2"/>
  <c r="N68" i="2"/>
  <c r="Q67" i="2" s="1"/>
  <c r="S80" i="2"/>
  <c r="T80" i="2" s="1"/>
  <c r="AC80" i="2"/>
  <c r="AD80" i="2" s="1"/>
  <c r="S81" i="2"/>
  <c r="T81" i="2" s="1"/>
  <c r="AC81" i="2"/>
  <c r="Q82" i="2"/>
  <c r="R82" i="2"/>
  <c r="AA82" i="2"/>
  <c r="AB82" i="2"/>
  <c r="AC82" i="2" l="1"/>
  <c r="U81" i="2"/>
  <c r="W81" i="2" s="1"/>
  <c r="V81" i="2"/>
  <c r="E4" i="2"/>
  <c r="D5" i="2"/>
  <c r="D6" i="2" s="1"/>
  <c r="AD81" i="2"/>
  <c r="T82" i="2"/>
  <c r="S82" i="2"/>
  <c r="T40" i="2"/>
  <c r="P5" i="2"/>
  <c r="P20" i="2" s="1"/>
  <c r="AA40" i="2"/>
  <c r="X50" i="2" s="1"/>
  <c r="O6" i="2"/>
  <c r="O7" i="2" s="1"/>
  <c r="U54" i="2"/>
  <c r="U55" i="2" s="1"/>
  <c r="N8" i="2"/>
  <c r="N9" i="2" s="1"/>
  <c r="A10" i="2"/>
  <c r="AE80" i="2"/>
  <c r="AF80" i="2" s="1"/>
  <c r="U80" i="2"/>
  <c r="U82" i="2" s="1"/>
  <c r="Z40" i="2"/>
  <c r="W50" i="2" s="1"/>
  <c r="AD82" i="2"/>
  <c r="P42" i="2"/>
  <c r="P41" i="2" s="1"/>
  <c r="V80" i="2" l="1"/>
  <c r="V82" i="2" s="1"/>
  <c r="F4" i="2"/>
  <c r="E5" i="2"/>
  <c r="E6" i="2" s="1"/>
  <c r="W80" i="2"/>
  <c r="W82" i="2" s="1"/>
  <c r="AE81" i="2"/>
  <c r="AE82" i="2" s="1"/>
  <c r="P6" i="2"/>
  <c r="P7" i="2" s="1"/>
  <c r="Q5" i="2"/>
  <c r="AB40" i="2"/>
  <c r="Y50" i="2" s="1"/>
  <c r="U40" i="2"/>
  <c r="AC40" i="2" s="1"/>
  <c r="Z50" i="2" s="1"/>
  <c r="O8" i="2"/>
  <c r="O9" i="2" s="1"/>
  <c r="AG80" i="2"/>
  <c r="N10" i="2"/>
  <c r="N11" i="2" s="1"/>
  <c r="N16" i="2"/>
  <c r="AF81" i="2" l="1"/>
  <c r="AF82" i="2" s="1"/>
  <c r="G4" i="2"/>
  <c r="G5" i="2" s="1"/>
  <c r="G6" i="2" s="1"/>
  <c r="F5" i="2"/>
  <c r="F6" i="2" s="1"/>
  <c r="Q6" i="2"/>
  <c r="R5" i="2"/>
  <c r="Q20" i="2"/>
  <c r="Q7" i="2"/>
  <c r="Q8" i="2" s="1"/>
  <c r="Q9" i="2" s="1"/>
  <c r="Q10" i="2" s="1"/>
  <c r="Q11" i="2" s="1"/>
  <c r="P8" i="2"/>
  <c r="P9" i="2" s="1"/>
  <c r="O10" i="2"/>
  <c r="O11" i="2" s="1"/>
  <c r="O16" i="2"/>
  <c r="O17" i="2" s="1"/>
  <c r="O18" i="2" s="1"/>
  <c r="O19" i="2" s="1"/>
  <c r="N17" i="2"/>
  <c r="N18" i="2" s="1"/>
  <c r="N12" i="2"/>
  <c r="N13" i="2" s="1"/>
  <c r="Q16" i="2" l="1"/>
  <c r="Q17" i="2" s="1"/>
  <c r="Q18" i="2" s="1"/>
  <c r="AG81" i="2"/>
  <c r="AG82" i="2" s="1"/>
  <c r="P16" i="2"/>
  <c r="P17" i="2" s="1"/>
  <c r="P18" i="2" s="1"/>
  <c r="P10" i="2"/>
  <c r="P11" i="2" s="1"/>
  <c r="P12" i="2" s="1"/>
  <c r="P13" i="2" s="1"/>
  <c r="P21" i="2" s="1"/>
  <c r="R6" i="2"/>
  <c r="S5" i="2"/>
  <c r="R20" i="2"/>
  <c r="R7" i="2"/>
  <c r="O12" i="2"/>
  <c r="O13" i="2" s="1"/>
  <c r="Q12" i="2"/>
  <c r="Q13" i="2" s="1"/>
  <c r="Q21" i="2" s="1"/>
  <c r="P19" i="2"/>
  <c r="N19" i="2"/>
  <c r="N21" i="2"/>
  <c r="N25" i="2" l="1"/>
  <c r="R8" i="2"/>
  <c r="R9" i="2" s="1"/>
  <c r="S20" i="2"/>
  <c r="T5" i="2"/>
  <c r="S6" i="2"/>
  <c r="S7" i="2" s="1"/>
  <c r="N23" i="2"/>
  <c r="O21" i="2"/>
  <c r="O23" i="2" s="1"/>
  <c r="P23" i="2"/>
  <c r="Q19" i="2"/>
  <c r="Q25" i="2" s="1"/>
  <c r="Q26" i="2" s="1"/>
  <c r="P25" i="2"/>
  <c r="S8" i="2" l="1"/>
  <c r="S9" i="2" s="1"/>
  <c r="U5" i="2"/>
  <c r="U6" i="2" s="1"/>
  <c r="T20" i="2"/>
  <c r="T6" i="2"/>
  <c r="T7" i="2" s="1"/>
  <c r="R16" i="2"/>
  <c r="R17" i="2" s="1"/>
  <c r="R18" i="2" s="1"/>
  <c r="R10" i="2"/>
  <c r="R11" i="2" s="1"/>
  <c r="R12" i="2" s="1"/>
  <c r="R13" i="2" s="1"/>
  <c r="O25" i="2"/>
  <c r="Q23" i="2"/>
  <c r="Q24" i="2" s="1"/>
  <c r="R21" i="2" l="1"/>
  <c r="R19" i="2"/>
  <c r="T8" i="2"/>
  <c r="U8" i="2" s="1"/>
  <c r="U7" i="2"/>
  <c r="U14" i="2"/>
  <c r="N31" i="2" s="1"/>
  <c r="T9" i="2"/>
  <c r="S16" i="2"/>
  <c r="S17" i="2" s="1"/>
  <c r="S18" i="2" s="1"/>
  <c r="S10" i="2"/>
  <c r="S11" i="2" s="1"/>
  <c r="S12" i="2" s="1"/>
  <c r="S13" i="2" s="1"/>
  <c r="R25" i="2" l="1"/>
  <c r="R26" i="2" s="1"/>
  <c r="R23" i="2"/>
  <c r="R24" i="2" s="1"/>
  <c r="S21" i="2"/>
  <c r="S19" i="2"/>
  <c r="U9" i="2"/>
  <c r="T10" i="2"/>
  <c r="T16" i="2"/>
  <c r="T17" i="2" s="1"/>
  <c r="T18" i="2" s="1"/>
  <c r="T19" i="2" s="1"/>
  <c r="S25" i="2" l="1"/>
  <c r="S26" i="2" s="1"/>
  <c r="S23" i="2"/>
  <c r="S24" i="2" s="1"/>
  <c r="T11" i="2"/>
  <c r="U10" i="2"/>
  <c r="U11" i="2" l="1"/>
  <c r="U12" i="2" s="1"/>
  <c r="T12" i="2"/>
  <c r="T13" i="2" s="1"/>
  <c r="T21" i="2" l="1"/>
  <c r="U13" i="2"/>
  <c r="V13" i="2" l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T25" i="2"/>
  <c r="T23" i="2"/>
  <c r="P14" i="2" l="1"/>
  <c r="N28" i="2" s="1"/>
  <c r="U23" i="2"/>
  <c r="T24" i="2"/>
  <c r="U25" i="2"/>
  <c r="T26" i="2"/>
  <c r="U26" i="2" l="1"/>
  <c r="R29" i="2" s="1"/>
  <c r="U31" i="2"/>
  <c r="U32" i="2" s="1"/>
  <c r="U24" i="2"/>
  <c r="R28" i="2" s="1"/>
  <c r="U28" i="2"/>
  <c r="U29" i="2" s="1"/>
  <c r="V23" i="2"/>
  <c r="W29" i="2" l="1"/>
  <c r="W23" i="2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W30" i="2"/>
  <c r="N35" i="2" s="1"/>
  <c r="N30" i="2" l="1"/>
  <c r="U50" i="2"/>
  <c r="N29" i="2"/>
  <c r="M37" i="2" s="1"/>
  <c r="X40" i="2" l="1"/>
  <c r="P40" i="2"/>
  <c r="M38" i="2"/>
  <c r="M39" i="2" s="1"/>
</calcChain>
</file>

<file path=xl/sharedStrings.xml><?xml version="1.0" encoding="utf-8"?>
<sst xmlns="http://schemas.openxmlformats.org/spreadsheetml/2006/main" count="154" uniqueCount="79">
  <si>
    <t>Profit</t>
  </si>
  <si>
    <t>COGS</t>
  </si>
  <si>
    <t>REV</t>
  </si>
  <si>
    <t>TV</t>
  </si>
  <si>
    <t>2028A</t>
  </si>
  <si>
    <t>2027A</t>
  </si>
  <si>
    <t>2026A</t>
  </si>
  <si>
    <t>2025A</t>
  </si>
  <si>
    <t>2024A</t>
  </si>
  <si>
    <t>2023A</t>
  </si>
  <si>
    <t>2022A</t>
  </si>
  <si>
    <t>Profit Margin</t>
  </si>
  <si>
    <t>Rev</t>
  </si>
  <si>
    <t>recent</t>
  </si>
  <si>
    <t>average</t>
  </si>
  <si>
    <t>CAGR</t>
  </si>
  <si>
    <t>trend</t>
  </si>
  <si>
    <t>Rev method</t>
  </si>
  <si>
    <t>2028F</t>
  </si>
  <si>
    <t>2027F</t>
  </si>
  <si>
    <t>2026F</t>
  </si>
  <si>
    <t>2025F</t>
  </si>
  <si>
    <t>REVENUE/COGS REGRESSION ANALYSIS</t>
  </si>
  <si>
    <t>TVG</t>
  </si>
  <si>
    <t>5 year growth rate</t>
  </si>
  <si>
    <t>COGS % of revenue</t>
  </si>
  <si>
    <t>WACC</t>
  </si>
  <si>
    <t>Millions</t>
  </si>
  <si>
    <t>Median</t>
  </si>
  <si>
    <t>5 year Growth rate</t>
  </si>
  <si>
    <t>5 year Revenue growth</t>
  </si>
  <si>
    <t>Most realistic</t>
  </si>
  <si>
    <t>Sensitivity analysis</t>
  </si>
  <si>
    <t>Not accurate</t>
  </si>
  <si>
    <t>FCFE</t>
  </si>
  <si>
    <t>Sensitivity Terminal growthrate</t>
  </si>
  <si>
    <t>Sensitivity analysis COGS</t>
  </si>
  <si>
    <t>Sensitivity analysis WACC</t>
  </si>
  <si>
    <t>EBITDA mutiple 17.5X</t>
  </si>
  <si>
    <t>FCFF Discount factor</t>
  </si>
  <si>
    <t>FCFF</t>
  </si>
  <si>
    <t>pv FCFE</t>
  </si>
  <si>
    <t>**FCFF NPV</t>
  </si>
  <si>
    <t>TOTAL PV + TERMINAL PV</t>
  </si>
  <si>
    <t>PV FCFF</t>
  </si>
  <si>
    <t>**NET INCOME NPV</t>
  </si>
  <si>
    <t>ALMENDRA VALUATION</t>
  </si>
  <si>
    <t>terminal value</t>
  </si>
  <si>
    <t>Assuming 20% historical growth, 10% forward revenue growth until Terminal value</t>
  </si>
  <si>
    <t>&gt;</t>
  </si>
  <si>
    <t>discount period</t>
  </si>
  <si>
    <t>NWC</t>
  </si>
  <si>
    <t>CAPEX</t>
  </si>
  <si>
    <t>D&amp;A</t>
  </si>
  <si>
    <t>NOPAT</t>
  </si>
  <si>
    <t>Less: Taxes</t>
  </si>
  <si>
    <t>Operating Income (EBIT)</t>
  </si>
  <si>
    <t>( industry standard)</t>
  </si>
  <si>
    <t>assuming Ebitda multiple of 17.4</t>
  </si>
  <si>
    <t>NOPAT Approach</t>
  </si>
  <si>
    <t>EBITDA</t>
  </si>
  <si>
    <t>DCF</t>
  </si>
  <si>
    <t>Net Income</t>
  </si>
  <si>
    <t>% Rate</t>
  </si>
  <si>
    <t>Pre-Tax Income (EBT)</t>
  </si>
  <si>
    <t>Less: Interest Expense</t>
  </si>
  <si>
    <t>Less: SG&amp;A</t>
  </si>
  <si>
    <t>Gross Profit</t>
  </si>
  <si>
    <t>Less: COGS</t>
  </si>
  <si>
    <t>Revenue</t>
  </si>
  <si>
    <t>R</t>
  </si>
  <si>
    <t>&gt;28% growth after this point</t>
  </si>
  <si>
    <t>($ in millions)</t>
  </si>
  <si>
    <t>Variable</t>
  </si>
  <si>
    <t>LATE stage growth</t>
  </si>
  <si>
    <t>Early stage growth</t>
  </si>
  <si>
    <t>F</t>
  </si>
  <si>
    <t>A</t>
  </si>
  <si>
    <t>SMALLCAPDCF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</si>
</sst>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;[Red]\-&quot;$&quot;#,##0.00"/>
    <numFmt numFmtId="43" formatCode="_-* #,##0.00_-;\-* #,##0.00_-;_-* &quot;-&quot;??_-;_-@_-"/>
    <numFmt numFmtId="164" formatCode="0.0"/>
    <numFmt numFmtId="165" formatCode="0.0%"/>
    <numFmt numFmtId="166" formatCode="&quot;$&quot;#,##0.00"/>
    <numFmt numFmtId="167" formatCode="&quot;$&quot;#,##0.0_);\(&quot;$&quot;#,##0.0\);\-\-_);@_)"/>
    <numFmt numFmtId="168" formatCode="_-* #,##0_-;\-* #,##0_-;_-* &quot;-&quot;??_-;_-@_-"/>
    <numFmt numFmtId="169" formatCode="#,##0_);\(#,##0\);\-\-_);@_)"/>
    <numFmt numFmtId="170" formatCode="@_)"/>
    <numFmt numFmtId="171" formatCode="0.0%_);\(0.0%\)_);&quot;--&quot;_);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43">
    <xf numFmtId="0" fontId="0" fillId="0" borderId="0" xfId="0"/>
    <xf numFmtId="2" fontId="0" fillId="0" borderId="0" xfId="0" applyNumberFormat="1"/>
    <xf numFmtId="0" fontId="5" fillId="0" borderId="0" xfId="0" applyFont="1"/>
    <xf numFmtId="164" fontId="0" fillId="0" borderId="2" xfId="0" applyNumberFormat="1" applyBorder="1"/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3" xfId="0" applyFont="1" applyBorder="1"/>
    <xf numFmtId="0" fontId="6" fillId="0" borderId="4" xfId="0" applyFont="1" applyBorder="1"/>
    <xf numFmtId="43" fontId="0" fillId="0" borderId="0" xfId="1" applyFont="1"/>
    <xf numFmtId="43" fontId="5" fillId="0" borderId="0" xfId="1" applyFont="1"/>
    <xf numFmtId="9" fontId="0" fillId="0" borderId="0" xfId="2" applyFont="1"/>
    <xf numFmtId="0" fontId="0" fillId="0" borderId="3" xfId="0" applyBorder="1"/>
    <xf numFmtId="0" fontId="0" fillId="0" borderId="4" xfId="0" applyBorder="1"/>
    <xf numFmtId="0" fontId="5" fillId="0" borderId="4" xfId="0" applyFont="1" applyBorder="1"/>
    <xf numFmtId="0" fontId="0" fillId="0" borderId="0" xfId="0" applyBorder="1"/>
    <xf numFmtId="0" fontId="0" fillId="0" borderId="2" xfId="0" applyBorder="1"/>
    <xf numFmtId="0" fontId="5" fillId="0" borderId="2" xfId="0" applyFont="1" applyBorder="1"/>
    <xf numFmtId="0" fontId="0" fillId="0" borderId="5" xfId="0" applyBorder="1"/>
    <xf numFmtId="165" fontId="0" fillId="0" borderId="0" xfId="0" applyNumberFormat="1"/>
    <xf numFmtId="0" fontId="0" fillId="0" borderId="6" xfId="0" applyBorder="1"/>
    <xf numFmtId="0" fontId="0" fillId="4" borderId="0" xfId="0" applyFill="1" applyBorder="1"/>
    <xf numFmtId="0" fontId="7" fillId="4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0" xfId="0" applyNumberFormat="1"/>
    <xf numFmtId="166" fontId="0" fillId="0" borderId="0" xfId="0" applyNumberFormat="1"/>
    <xf numFmtId="0" fontId="5" fillId="4" borderId="0" xfId="0" applyFont="1" applyFill="1" applyBorder="1"/>
    <xf numFmtId="10" fontId="0" fillId="0" borderId="0" xfId="0" applyNumberFormat="1"/>
    <xf numFmtId="8" fontId="0" fillId="0" borderId="0" xfId="0" applyNumberFormat="1"/>
    <xf numFmtId="167" fontId="0" fillId="0" borderId="0" xfId="0" applyNumberFormat="1"/>
    <xf numFmtId="167" fontId="5" fillId="0" borderId="0" xfId="0" applyNumberFormat="1" applyFont="1"/>
    <xf numFmtId="0" fontId="8" fillId="5" borderId="0" xfId="0" applyFont="1" applyFill="1"/>
    <xf numFmtId="167" fontId="9" fillId="5" borderId="0" xfId="0" applyNumberFormat="1" applyFont="1" applyFill="1"/>
    <xf numFmtId="0" fontId="4" fillId="5" borderId="0" xfId="0" applyFont="1" applyFill="1"/>
    <xf numFmtId="0" fontId="9" fillId="5" borderId="0" xfId="0" applyFont="1" applyFill="1"/>
    <xf numFmtId="0" fontId="5" fillId="6" borderId="0" xfId="0" applyFont="1" applyFill="1"/>
    <xf numFmtId="167" fontId="10" fillId="6" borderId="0" xfId="0" applyNumberFormat="1" applyFont="1" applyFill="1"/>
    <xf numFmtId="0" fontId="0" fillId="6" borderId="0" xfId="0" applyFill="1"/>
    <xf numFmtId="0" fontId="10" fillId="6" borderId="0" xfId="0" applyFont="1" applyFill="1"/>
    <xf numFmtId="0" fontId="11" fillId="0" borderId="0" xfId="0" applyFont="1"/>
    <xf numFmtId="167" fontId="10" fillId="0" borderId="0" xfId="0" applyNumberFormat="1" applyFont="1"/>
    <xf numFmtId="0" fontId="10" fillId="0" borderId="0" xfId="0" applyFont="1"/>
    <xf numFmtId="166" fontId="5" fillId="0" borderId="5" xfId="0" applyNumberFormat="1" applyFont="1" applyBorder="1"/>
    <xf numFmtId="166" fontId="5" fillId="0" borderId="6" xfId="0" applyNumberFormat="1" applyFont="1" applyBorder="1"/>
    <xf numFmtId="0" fontId="6" fillId="0" borderId="0" xfId="0" applyFont="1" applyBorder="1"/>
    <xf numFmtId="166" fontId="5" fillId="0" borderId="0" xfId="0" applyNumberFormat="1" applyFont="1"/>
    <xf numFmtId="8" fontId="5" fillId="0" borderId="6" xfId="0" applyNumberFormat="1" applyFont="1" applyBorder="1"/>
    <xf numFmtId="167" fontId="5" fillId="0" borderId="7" xfId="0" applyNumberFormat="1" applyFont="1" applyBorder="1"/>
    <xf numFmtId="0" fontId="6" fillId="0" borderId="8" xfId="0" applyFont="1" applyBorder="1"/>
    <xf numFmtId="0" fontId="5" fillId="0" borderId="8" xfId="0" applyFont="1" applyBorder="1"/>
    <xf numFmtId="0" fontId="5" fillId="0" borderId="9" xfId="0" applyFont="1" applyBorder="1"/>
    <xf numFmtId="165" fontId="5" fillId="0" borderId="0" xfId="0" applyNumberFormat="1" applyFont="1"/>
    <xf numFmtId="167" fontId="12" fillId="7" borderId="0" xfId="0" applyNumberFormat="1" applyFont="1" applyFill="1" applyBorder="1"/>
    <xf numFmtId="167" fontId="13" fillId="7" borderId="11" xfId="0" applyNumberFormat="1" applyFont="1" applyFill="1" applyBorder="1"/>
    <xf numFmtId="171" fontId="14" fillId="7" borderId="14" xfId="0" applyNumberFormat="1" applyFont="1" applyFill="1" applyBorder="1" applyAlignment="1">
      <alignment horizontal="center"/>
    </xf>
    <xf numFmtId="167" fontId="15" fillId="7" borderId="11" xfId="0" applyNumberFormat="1" applyFont="1" applyFill="1" applyBorder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169" fontId="15" fillId="7" borderId="8" xfId="0" quotePrefix="1" applyNumberFormat="1" applyFont="1" applyFill="1" applyBorder="1"/>
    <xf numFmtId="167" fontId="15" fillId="7" borderId="8" xfId="0" applyNumberFormat="1" applyFont="1" applyFill="1" applyBorder="1" applyAlignment="1">
      <alignment horizontal="right"/>
    </xf>
    <xf numFmtId="169" fontId="15" fillId="7" borderId="8" xfId="0" applyNumberFormat="1" applyFont="1" applyFill="1" applyBorder="1"/>
    <xf numFmtId="167" fontId="15" fillId="7" borderId="8" xfId="0" applyNumberFormat="1" applyFont="1" applyFill="1" applyBorder="1"/>
    <xf numFmtId="169" fontId="17" fillId="7" borderId="8" xfId="0" applyNumberFormat="1" applyFont="1" applyFill="1" applyBorder="1"/>
    <xf numFmtId="167" fontId="17" fillId="7" borderId="8" xfId="0" applyNumberFormat="1" applyFont="1" applyFill="1" applyBorder="1"/>
    <xf numFmtId="167" fontId="15" fillId="7" borderId="13" xfId="0" applyNumberFormat="1" applyFont="1" applyFill="1" applyBorder="1"/>
    <xf numFmtId="2" fontId="13" fillId="7" borderId="11" xfId="0" applyNumberFormat="1" applyFont="1" applyFill="1" applyBorder="1"/>
    <xf numFmtId="166" fontId="0" fillId="7" borderId="11" xfId="0" applyNumberFormat="1" applyFont="1" applyFill="1" applyBorder="1"/>
    <xf numFmtId="0" fontId="0" fillId="7" borderId="11" xfId="0" applyFont="1" applyFill="1" applyBorder="1"/>
    <xf numFmtId="169" fontId="17" fillId="7" borderId="12" xfId="0" applyNumberFormat="1" applyFont="1" applyFill="1" applyBorder="1"/>
    <xf numFmtId="167" fontId="17" fillId="7" borderId="12" xfId="0" applyNumberFormat="1" applyFont="1" applyFill="1" applyBorder="1"/>
    <xf numFmtId="167" fontId="0" fillId="7" borderId="11" xfId="0" applyNumberFormat="1" applyFont="1" applyFill="1" applyBorder="1"/>
    <xf numFmtId="166" fontId="0" fillId="7" borderId="10" xfId="0" applyNumberFormat="1" applyFont="1" applyFill="1" applyBorder="1"/>
    <xf numFmtId="169" fontId="0" fillId="7" borderId="16" xfId="0" quotePrefix="1" applyNumberFormat="1" applyFont="1" applyFill="1" applyBorder="1"/>
    <xf numFmtId="169" fontId="0" fillId="7" borderId="0" xfId="0" quotePrefix="1" applyNumberFormat="1" applyFont="1" applyFill="1" applyBorder="1"/>
    <xf numFmtId="170" fontId="0" fillId="7" borderId="16" xfId="0" quotePrefix="1" applyNumberFormat="1" applyFont="1" applyFill="1" applyBorder="1"/>
    <xf numFmtId="167" fontId="14" fillId="7" borderId="0" xfId="0" applyNumberFormat="1" applyFont="1" applyFill="1" applyBorder="1" applyAlignment="1">
      <alignment horizontal="right"/>
    </xf>
    <xf numFmtId="2" fontId="0" fillId="7" borderId="0" xfId="0" applyNumberFormat="1" applyFont="1" applyFill="1" applyBorder="1"/>
    <xf numFmtId="170" fontId="15" fillId="7" borderId="17" xfId="0" quotePrefix="1" applyNumberFormat="1" applyFont="1" applyFill="1" applyBorder="1"/>
    <xf numFmtId="169" fontId="0" fillId="7" borderId="0" xfId="0" applyNumberFormat="1" applyFont="1" applyFill="1" applyBorder="1"/>
    <xf numFmtId="167" fontId="14" fillId="7" borderId="0" xfId="0" applyNumberFormat="1" applyFont="1" applyFill="1" applyBorder="1"/>
    <xf numFmtId="170" fontId="17" fillId="7" borderId="17" xfId="0" quotePrefix="1" applyNumberFormat="1" applyFont="1" applyFill="1" applyBorder="1"/>
    <xf numFmtId="169" fontId="0" fillId="7" borderId="0" xfId="0" applyNumberFormat="1" applyFont="1" applyFill="1" applyBorder="1" applyAlignment="1">
      <alignment horizontal="right" vertical="top"/>
    </xf>
    <xf numFmtId="167" fontId="0" fillId="7" borderId="0" xfId="0" applyNumberFormat="1" applyFont="1" applyFill="1" applyBorder="1"/>
    <xf numFmtId="169" fontId="0" fillId="7" borderId="16" xfId="0" applyNumberFormat="1" applyFont="1" applyFill="1" applyBorder="1"/>
    <xf numFmtId="0" fontId="0" fillId="7" borderId="0" xfId="0" applyFont="1" applyFill="1" applyBorder="1"/>
    <xf numFmtId="170" fontId="17" fillId="7" borderId="18" xfId="0" quotePrefix="1" applyNumberFormat="1" applyFont="1" applyFill="1" applyBorder="1"/>
    <xf numFmtId="169" fontId="0" fillId="7" borderId="16" xfId="0" applyNumberFormat="1" applyFont="1" applyFill="1" applyBorder="1" applyAlignment="1"/>
    <xf numFmtId="169" fontId="0" fillId="7" borderId="0" xfId="0" applyNumberFormat="1" applyFont="1" applyFill="1" applyBorder="1" applyAlignment="1"/>
    <xf numFmtId="0" fontId="0" fillId="7" borderId="16" xfId="0" applyFont="1" applyFill="1" applyBorder="1"/>
    <xf numFmtId="43" fontId="1" fillId="7" borderId="0" xfId="1" applyFont="1" applyFill="1" applyBorder="1" applyAlignment="1">
      <alignment horizontal="right"/>
    </xf>
    <xf numFmtId="168" fontId="1" fillId="7" borderId="0" xfId="1" applyNumberFormat="1" applyFont="1" applyFill="1" applyBorder="1" applyAlignment="1">
      <alignment horizontal="right"/>
    </xf>
    <xf numFmtId="166" fontId="0" fillId="7" borderId="0" xfId="0" applyNumberFormat="1" applyFont="1" applyFill="1" applyBorder="1"/>
    <xf numFmtId="0" fontId="0" fillId="7" borderId="19" xfId="0" applyFont="1" applyFill="1" applyBorder="1"/>
    <xf numFmtId="0" fontId="0" fillId="7" borderId="20" xfId="0" applyFont="1" applyFill="1" applyBorder="1"/>
    <xf numFmtId="0" fontId="0" fillId="7" borderId="21" xfId="0" applyFont="1" applyFill="1" applyBorder="1"/>
    <xf numFmtId="170" fontId="17" fillId="7" borderId="22" xfId="0" quotePrefix="1" applyNumberFormat="1" applyFont="1" applyFill="1" applyBorder="1" applyAlignment="1">
      <alignment horizontal="centerContinuous"/>
    </xf>
    <xf numFmtId="169" fontId="17" fillId="7" borderId="23" xfId="0" applyNumberFormat="1" applyFont="1" applyFill="1" applyBorder="1" applyAlignment="1">
      <alignment horizontal="centerContinuous"/>
    </xf>
    <xf numFmtId="167" fontId="17" fillId="7" borderId="23" xfId="0" applyNumberFormat="1" applyFont="1" applyFill="1" applyBorder="1" applyAlignment="1">
      <alignment horizontal="centerContinuous"/>
    </xf>
    <xf numFmtId="0" fontId="0" fillId="7" borderId="23" xfId="0" applyFont="1" applyFill="1" applyBorder="1"/>
    <xf numFmtId="0" fontId="0" fillId="7" borderId="15" xfId="0" applyFont="1" applyFill="1" applyBorder="1"/>
    <xf numFmtId="0" fontId="16" fillId="7" borderId="24" xfId="4" applyFont="1" applyFill="1" applyBorder="1"/>
    <xf numFmtId="169" fontId="0" fillId="7" borderId="22" xfId="0" applyNumberFormat="1" applyFont="1" applyFill="1" applyBorder="1" applyAlignment="1"/>
    <xf numFmtId="169" fontId="0" fillId="7" borderId="23" xfId="0" applyNumberFormat="1" applyFont="1" applyFill="1" applyBorder="1" applyAlignment="1"/>
    <xf numFmtId="9" fontId="4" fillId="7" borderId="23" xfId="2" applyFont="1" applyFill="1" applyBorder="1" applyAlignment="1"/>
    <xf numFmtId="0" fontId="0" fillId="7" borderId="26" xfId="0" applyFont="1" applyFill="1" applyBorder="1"/>
    <xf numFmtId="0" fontId="5" fillId="7" borderId="27" xfId="0" applyFont="1" applyFill="1" applyBorder="1" applyAlignment="1">
      <alignment horizontal="center"/>
    </xf>
    <xf numFmtId="0" fontId="2" fillId="7" borderId="28" xfId="3" applyFont="1" applyFill="1" applyBorder="1"/>
    <xf numFmtId="0" fontId="16" fillId="7" borderId="29" xfId="4" applyFont="1" applyFill="1" applyBorder="1"/>
    <xf numFmtId="0" fontId="16" fillId="7" borderId="28" xfId="4" applyFont="1" applyFill="1" applyBorder="1"/>
    <xf numFmtId="9" fontId="4" fillId="7" borderId="22" xfId="0" applyNumberFormat="1" applyFont="1" applyFill="1" applyBorder="1"/>
    <xf numFmtId="0" fontId="2" fillId="7" borderId="30" xfId="3" applyFont="1" applyFill="1" applyBorder="1"/>
    <xf numFmtId="0" fontId="2" fillId="7" borderId="25" xfId="3" applyFont="1" applyFill="1" applyBorder="1"/>
    <xf numFmtId="2" fontId="0" fillId="7" borderId="31" xfId="0" applyNumberFormat="1" applyFont="1" applyFill="1" applyBorder="1"/>
    <xf numFmtId="2" fontId="0" fillId="7" borderId="32" xfId="0" applyNumberFormat="1" applyFont="1" applyFill="1" applyBorder="1"/>
    <xf numFmtId="167" fontId="14" fillId="7" borderId="33" xfId="0" applyNumberFormat="1" applyFont="1" applyFill="1" applyBorder="1" applyAlignment="1">
      <alignment horizontal="right"/>
    </xf>
    <xf numFmtId="167" fontId="14" fillId="7" borderId="32" xfId="0" applyNumberFormat="1" applyFont="1" applyFill="1" applyBorder="1" applyAlignment="1">
      <alignment horizontal="right"/>
    </xf>
    <xf numFmtId="167" fontId="15" fillId="7" borderId="31" xfId="0" applyNumberFormat="1" applyFont="1" applyFill="1" applyBorder="1" applyAlignment="1">
      <alignment horizontal="right"/>
    </xf>
    <xf numFmtId="167" fontId="15" fillId="7" borderId="34" xfId="0" applyNumberFormat="1" applyFont="1" applyFill="1" applyBorder="1" applyAlignment="1">
      <alignment horizontal="right"/>
    </xf>
    <xf numFmtId="167" fontId="14" fillId="7" borderId="33" xfId="0" applyNumberFormat="1" applyFont="1" applyFill="1" applyBorder="1"/>
    <xf numFmtId="167" fontId="14" fillId="7" borderId="32" xfId="0" applyNumberFormat="1" applyFont="1" applyFill="1" applyBorder="1"/>
    <xf numFmtId="167" fontId="15" fillId="7" borderId="31" xfId="0" applyNumberFormat="1" applyFont="1" applyFill="1" applyBorder="1"/>
    <xf numFmtId="167" fontId="15" fillId="7" borderId="34" xfId="0" applyNumberFormat="1" applyFont="1" applyFill="1" applyBorder="1"/>
    <xf numFmtId="167" fontId="17" fillId="7" borderId="31" xfId="0" applyNumberFormat="1" applyFont="1" applyFill="1" applyBorder="1"/>
    <xf numFmtId="167" fontId="17" fillId="7" borderId="34" xfId="0" applyNumberFormat="1" applyFont="1" applyFill="1" applyBorder="1"/>
    <xf numFmtId="167" fontId="0" fillId="7" borderId="33" xfId="0" applyNumberFormat="1" applyFont="1" applyFill="1" applyBorder="1"/>
    <xf numFmtId="167" fontId="0" fillId="7" borderId="32" xfId="0" applyNumberFormat="1" applyFont="1" applyFill="1" applyBorder="1"/>
    <xf numFmtId="167" fontId="17" fillId="7" borderId="35" xfId="0" applyNumberFormat="1" applyFont="1" applyFill="1" applyBorder="1"/>
    <xf numFmtId="0" fontId="0" fillId="7" borderId="22" xfId="0" applyFont="1" applyFill="1" applyBorder="1"/>
    <xf numFmtId="167" fontId="0" fillId="7" borderId="16" xfId="0" applyNumberFormat="1" applyFont="1" applyFill="1" applyBorder="1"/>
    <xf numFmtId="167" fontId="17" fillId="7" borderId="18" xfId="0" applyNumberFormat="1" applyFont="1" applyFill="1" applyBorder="1"/>
    <xf numFmtId="167" fontId="17" fillId="7" borderId="36" xfId="0" applyNumberFormat="1" applyFont="1" applyFill="1" applyBorder="1"/>
    <xf numFmtId="169" fontId="0" fillId="7" borderId="32" xfId="0" applyNumberFormat="1" applyFont="1" applyFill="1" applyBorder="1"/>
    <xf numFmtId="169" fontId="0" fillId="7" borderId="32" xfId="0" applyNumberFormat="1" applyFont="1" applyFill="1" applyBorder="1" applyAlignment="1"/>
    <xf numFmtId="43" fontId="1" fillId="7" borderId="16" xfId="1" applyFont="1" applyFill="1" applyBorder="1" applyAlignment="1">
      <alignment horizontal="right"/>
    </xf>
    <xf numFmtId="43" fontId="1" fillId="7" borderId="32" xfId="1" applyFont="1" applyFill="1" applyBorder="1" applyAlignment="1">
      <alignment horizontal="right"/>
    </xf>
    <xf numFmtId="168" fontId="1" fillId="7" borderId="32" xfId="1" applyNumberFormat="1" applyFont="1" applyFill="1" applyBorder="1" applyAlignment="1">
      <alignment horizontal="right"/>
    </xf>
    <xf numFmtId="0" fontId="0" fillId="7" borderId="32" xfId="0" applyFont="1" applyFill="1" applyBorder="1"/>
    <xf numFmtId="166" fontId="0" fillId="7" borderId="16" xfId="0" applyNumberFormat="1" applyFont="1" applyFill="1" applyBorder="1"/>
    <xf numFmtId="166" fontId="0" fillId="7" borderId="32" xfId="0" applyNumberFormat="1" applyFont="1" applyFill="1" applyBorder="1"/>
    <xf numFmtId="0" fontId="16" fillId="7" borderId="37" xfId="4" applyFont="1" applyFill="1" applyBorder="1"/>
    <xf numFmtId="0" fontId="0" fillId="7" borderId="10" xfId="0" applyFont="1" applyFill="1" applyBorder="1"/>
  </cellXfs>
  <cellStyles count="5">
    <cellStyle name="Calculation" xfId="4" builtinId="22"/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trend</a:t>
            </a:r>
            <a:r>
              <a:rPr lang="en-CA" baseline="0"/>
              <a:t> line</a:t>
            </a:r>
          </a:p>
          <a:p>
            <a:pPr>
              <a:defRPr/>
            </a:pP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(2)'!$K$67:$K$69</c:f>
              <c:numCache>
                <c:formatCode>0.00</c:formatCode>
                <c:ptCount val="3"/>
                <c:pt idx="0">
                  <c:v>19</c:v>
                </c:pt>
                <c:pt idx="1">
                  <c:v>-11.4</c:v>
                </c:pt>
                <c:pt idx="2" formatCode="_(* #,##0.00_);_(* \(#,##0.00\);_(* &quot;-&quot;??_);_(@_)">
                  <c:v>7.6</c:v>
                </c:pt>
              </c:numCache>
            </c:numRef>
          </c:xVal>
          <c:yVal>
            <c:numRef>
              <c:f>'Normal (2)'!$L$67:$L$69</c:f>
              <c:numCache>
                <c:formatCode>0.00</c:formatCode>
                <c:ptCount val="3"/>
                <c:pt idx="0">
                  <c:v>22.229999999999997</c:v>
                </c:pt>
                <c:pt idx="1">
                  <c:v>-13.337999999999997</c:v>
                </c:pt>
                <c:pt idx="2" formatCode="_(* #,##0.00_);_(* \(#,##0.00\);_(* &quot;-&quot;??_);_(@_)">
                  <c:v>8.8919999999999995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8-4DF6-98EC-E058CF72E07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 (2)'!$K$67:$K$69</c:f>
              <c:numCache>
                <c:formatCode>0.00</c:formatCode>
                <c:ptCount val="3"/>
                <c:pt idx="0">
                  <c:v>19</c:v>
                </c:pt>
                <c:pt idx="1">
                  <c:v>-11.4</c:v>
                </c:pt>
                <c:pt idx="2" formatCode="_(* #,##0.00_);_(* \(#,##0.00\);_(* &quot;-&quot;??_);_(@_)">
                  <c:v>7.6</c:v>
                </c:pt>
              </c:numCache>
            </c:numRef>
          </c:xVal>
          <c:yVal>
            <c:numRef>
              <c:f>'Normal (2)'!$M$67:$M$69</c:f>
              <c:numCache>
                <c:formatCode>0.00</c:formatCode>
                <c:ptCount val="3"/>
                <c:pt idx="0">
                  <c:v>26.009099999999993</c:v>
                </c:pt>
                <c:pt idx="1">
                  <c:v>-15.605459999999995</c:v>
                </c:pt>
                <c:pt idx="2" formatCode="_(* #,##0.00_);_(* \(#,##0.00\);_(* &quot;-&quot;??_);_(@_)">
                  <c:v>10.403639999999998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8-4DF6-98EC-E058CF72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913696"/>
        <c:axId val="714914024"/>
      </c:scatterChart>
      <c:valAx>
        <c:axId val="7149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914024"/>
        <c:crosses val="autoZero"/>
        <c:crossBetween val="midCat"/>
      </c:valAx>
      <c:valAx>
        <c:axId val="71491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91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REV/COGS</a:t>
            </a:r>
            <a:r>
              <a:rPr lang="en-CA" baseline="0"/>
              <a:t> regression</a:t>
            </a:r>
          </a:p>
          <a:p>
            <a:pPr>
              <a:defRPr/>
            </a:pP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'Normal (2)'!$O$80</c:f>
              <c:strCache>
                <c:ptCount val="1"/>
                <c:pt idx="0">
                  <c:v>REV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'Normal (2)'!$P$79:$W$79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TV</c:v>
                </c:pt>
              </c:strCache>
            </c:strRef>
          </c:cat>
          <c:val>
            <c:numRef>
              <c:f>'Normal (2)'!$P$80:$W$80</c:f>
              <c:numCache>
                <c:formatCode>0.00</c:formatCode>
                <c:ptCount val="8"/>
                <c:pt idx="0">
                  <c:v>19</c:v>
                </c:pt>
                <c:pt idx="1">
                  <c:v>22.229999999999997</c:v>
                </c:pt>
                <c:pt idx="2">
                  <c:v>26.009099999999993</c:v>
                </c:pt>
                <c:pt idx="3" formatCode="0.0">
                  <c:v>29.422133333333328</c:v>
                </c:pt>
                <c:pt idx="4" formatCode="0.0">
                  <c:v>33.079211111111107</c:v>
                </c:pt>
                <c:pt idx="5" formatCode="0.0">
                  <c:v>35.586819047619045</c:v>
                </c:pt>
                <c:pt idx="6" formatCode="0.0">
                  <c:v>37.415357936507931</c:v>
                </c:pt>
                <c:pt idx="7" formatCode="0.0">
                  <c:v>39.696609523809521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E-42CB-A442-AD145738216C}"/>
            </c:ext>
          </c:extLst>
        </c:ser>
        <c:ser>
          <c:idx val="1"/>
          <c:order val="1"/>
          <c:tx>
            <c:strRef>
              <c:f>'Normal (2)'!$O$81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'Normal (2)'!$P$79:$W$79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TV</c:v>
                </c:pt>
              </c:strCache>
            </c:strRef>
          </c:cat>
          <c:val>
            <c:numRef>
              <c:f>'Normal (2)'!$P$81:$W$81</c:f>
              <c:numCache>
                <c:formatCode>0.00</c:formatCode>
                <c:ptCount val="8"/>
                <c:pt idx="0">
                  <c:v>-11.4</c:v>
                </c:pt>
                <c:pt idx="1">
                  <c:v>-13.337999999999997</c:v>
                </c:pt>
                <c:pt idx="2">
                  <c:v>-15.605459999999995</c:v>
                </c:pt>
                <c:pt idx="3" formatCode="0.0">
                  <c:v>-17.653279999999995</c:v>
                </c:pt>
                <c:pt idx="4" formatCode="0.0">
                  <c:v>-19.84752666666666</c:v>
                </c:pt>
                <c:pt idx="5" formatCode="0.0">
                  <c:v>-21.352091428571423</c:v>
                </c:pt>
                <c:pt idx="6" formatCode="0.0">
                  <c:v>-22.449214761904756</c:v>
                </c:pt>
                <c:pt idx="7" formatCode="0.0">
                  <c:v>-23.817965714285709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E-42CB-A442-AD145738216C}"/>
            </c:ext>
          </c:extLst>
        </c:ser>
        <c:ser>
          <c:idx val="2"/>
          <c:order val="2"/>
          <c:tx>
            <c:strRef>
              <c:f>'Normal (2)'!$O$82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'Normal (2)'!$P$79:$W$79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TV</c:v>
                </c:pt>
              </c:strCache>
            </c:strRef>
          </c:cat>
          <c:val>
            <c:numRef>
              <c:f>'Normal (2)'!$P$82:$W$82</c:f>
              <c:numCache>
                <c:formatCode>0.00</c:formatCode>
                <c:ptCount val="8"/>
                <c:pt idx="0">
                  <c:v>7.6</c:v>
                </c:pt>
                <c:pt idx="1">
                  <c:v>8.8919999999999995</c:v>
                </c:pt>
                <c:pt idx="2">
                  <c:v>10.403639999999998</c:v>
                </c:pt>
                <c:pt idx="3">
                  <c:v>11.768853333333333</c:v>
                </c:pt>
                <c:pt idx="4">
                  <c:v>13.231684444444447</c:v>
                </c:pt>
                <c:pt idx="5">
                  <c:v>14.234727619047622</c:v>
                </c:pt>
                <c:pt idx="6">
                  <c:v>14.966143174603175</c:v>
                </c:pt>
                <c:pt idx="7">
                  <c:v>15.878643809523812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E-42CB-A442-AD1457382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868016"/>
        <c:axId val="544866376"/>
      </c:lineChart>
      <c:catAx>
        <c:axId val="5448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66376"/>
        <c:crosses val="autoZero"/>
        <c:auto val="1"/>
        <c:lblAlgn val="ctr"/>
        <c:lblOffset val="100"/>
        <c:noMultiLvlLbl val="0"/>
      </c:catAx>
      <c:valAx>
        <c:axId val="5448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6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Regression normalized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'Normal (2)'!$Y$80</c:f>
              <c:strCache>
                <c:ptCount val="1"/>
                <c:pt idx="0">
                  <c:v>REV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'Normal (2)'!$Z$79:$AG$79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TV</c:v>
                </c:pt>
              </c:strCache>
            </c:strRef>
          </c:cat>
          <c:val>
            <c:numRef>
              <c:f>'Normal (2)'!$Z$80:$AG$80</c:f>
              <c:numCache>
                <c:formatCode>0.00</c:formatCode>
                <c:ptCount val="8"/>
                <c:pt idx="0">
                  <c:v>19</c:v>
                </c:pt>
                <c:pt idx="1">
                  <c:v>22.229999999999997</c:v>
                </c:pt>
                <c:pt idx="2">
                  <c:v>26.009099999999993</c:v>
                </c:pt>
                <c:pt idx="3" formatCode="0.0">
                  <c:v>29.422133333333328</c:v>
                </c:pt>
                <c:pt idx="4" formatCode="0.0">
                  <c:v>32.926683333333322</c:v>
                </c:pt>
                <c:pt idx="5" formatCode="0.0">
                  <c:v>36.715386036036023</c:v>
                </c:pt>
                <c:pt idx="6" formatCode="0.0">
                  <c:v>39.55691306306305</c:v>
                </c:pt>
                <c:pt idx="7" formatCode="0.0">
                  <c:v>42.398440090090077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F-4103-A332-1C968E1795F6}"/>
            </c:ext>
          </c:extLst>
        </c:ser>
        <c:ser>
          <c:idx val="1"/>
          <c:order val="1"/>
          <c:tx>
            <c:strRef>
              <c:f>'Normal (2)'!$Y$81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'Normal (2)'!$Z$79:$AG$79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TV</c:v>
                </c:pt>
              </c:strCache>
            </c:strRef>
          </c:cat>
          <c:val>
            <c:numRef>
              <c:f>'Normal (2)'!$Z$81:$AG$81</c:f>
              <c:numCache>
                <c:formatCode>0.00</c:formatCode>
                <c:ptCount val="8"/>
                <c:pt idx="0">
                  <c:v>-11.4</c:v>
                </c:pt>
                <c:pt idx="1">
                  <c:v>-13.337999999999997</c:v>
                </c:pt>
                <c:pt idx="2">
                  <c:v>-15.605459999999995</c:v>
                </c:pt>
                <c:pt idx="3" formatCode="0.0">
                  <c:v>-17.653279999999995</c:v>
                </c:pt>
                <c:pt idx="4" formatCode="0.0">
                  <c:v>-19.84752666666666</c:v>
                </c:pt>
                <c:pt idx="5" formatCode="0.0">
                  <c:v>-21.352091428571423</c:v>
                </c:pt>
                <c:pt idx="6" formatCode="0.0">
                  <c:v>-22.449214761904756</c:v>
                </c:pt>
                <c:pt idx="7" formatCode="0.0">
                  <c:v>-23.817965714285709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F-4103-A332-1C968E1795F6}"/>
            </c:ext>
          </c:extLst>
        </c:ser>
        <c:ser>
          <c:idx val="2"/>
          <c:order val="2"/>
          <c:tx>
            <c:strRef>
              <c:f>'Normal (2)'!$Y$82</c:f>
              <c:strCache>
                <c:ptCount val="1"/>
                <c:pt idx="0">
                  <c:v>Profit</c:v>
                </c:pt>
              </c:strCache>
            </c:strRef>
          </c:tx>
          <c:cat>
            <c:strRef>
              <c:f>'Normal (2)'!$Z$79:$AG$79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TV</c:v>
                </c:pt>
              </c:strCache>
            </c:strRef>
          </c:cat>
          <c:val>
            <c:numRef>
              <c:f>'Normal (2)'!$Z$82:$AG$82</c:f>
              <c:numCache>
                <c:formatCode>0.00</c:formatCode>
                <c:ptCount val="8"/>
                <c:pt idx="0">
                  <c:v>7.6</c:v>
                </c:pt>
                <c:pt idx="1">
                  <c:v>8.8919999999999995</c:v>
                </c:pt>
                <c:pt idx="2">
                  <c:v>10.403639999999998</c:v>
                </c:pt>
                <c:pt idx="3">
                  <c:v>11.768853333333333</c:v>
                </c:pt>
                <c:pt idx="4">
                  <c:v>13.079156666666663</c:v>
                </c:pt>
                <c:pt idx="5">
                  <c:v>15.363294607464599</c:v>
                </c:pt>
                <c:pt idx="6">
                  <c:v>17.107698301158294</c:v>
                </c:pt>
                <c:pt idx="7">
                  <c:v>18.580474375804368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F-4103-A332-1C968E179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868016"/>
        <c:axId val="544866376"/>
      </c:lineChart>
      <c:catAx>
        <c:axId val="5448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66376"/>
        <c:crosses val="autoZero"/>
        <c:auto val="1"/>
        <c:lblAlgn val="ctr"/>
        <c:lblOffset val="100"/>
        <c:noMultiLvlLbl val="0"/>
      </c:catAx>
      <c:valAx>
        <c:axId val="5448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6801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392206</xdr:colOff>
      <xdr:row>71</xdr:row>
      <xdr:rowOff>145677</xdr:rowOff>
    </xdr:from>
    <xdr:to>
      <xdr:col>13</xdr:col>
      <xdr:colOff>78441</xdr:colOff>
      <xdr:row>85</xdr:row>
      <xdr:rowOff>22412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39220</xdr:colOff>
      <xdr:row>83</xdr:row>
      <xdr:rowOff>113179</xdr:rowOff>
    </xdr:from>
    <xdr:to>
      <xdr:col>23</xdr:col>
      <xdr:colOff>22411</xdr:colOff>
      <xdr:row>108</xdr:row>
      <xdr:rowOff>179294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554692</xdr:colOff>
      <xdr:row>83</xdr:row>
      <xdr:rowOff>145677</xdr:rowOff>
    </xdr:from>
    <xdr:to>
      <xdr:col>37</xdr:col>
      <xdr:colOff>56031</xdr:colOff>
      <xdr:row>108</xdr:row>
      <xdr:rowOff>179294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82"/>
  <sheetViews>
    <sheetView tabSelected="1" zoomScale="40" zoomScaleNormal="40" workbookViewId="0">
      <selection activeCell="Q32" sqref="Q32"/>
    </sheetView>
  </sheetViews>
  <sheetFormatPr defaultRowHeight="14.25" x14ac:dyDescent="0.45"/>
  <cols>
    <col min="10" max="10" width="12.265625" customWidth="1"/>
    <col min="11" max="11" width="12.1328125" customWidth="1"/>
    <col min="12" max="12" width="16.265625" customWidth="1"/>
    <col min="13" max="13" width="26.265625" customWidth="1"/>
    <col min="14" max="14" width="25" customWidth="1"/>
    <col min="15" max="15" width="13.265625" customWidth="1"/>
    <col min="16" max="16" width="11.265625" customWidth="1"/>
    <col min="17" max="17" width="12.86328125" customWidth="1"/>
    <col min="18" max="18" width="15" customWidth="1"/>
    <col min="19" max="19" width="13.3984375" customWidth="1"/>
    <col min="20" max="20" width="11.73046875" customWidth="1"/>
    <col min="21" max="21" width="13.59765625" customWidth="1"/>
    <col min="22" max="22" width="11.3984375" bestFit="1" customWidth="1"/>
    <col min="23" max="23" width="11.73046875" customWidth="1"/>
  </cols>
  <sheetData>
    <row r="1" spans="1:160" x14ac:dyDescent="0.45">
      <c r="A1" s="26">
        <v>0.2</v>
      </c>
      <c r="B1" s="11">
        <f>B4/A4-1</f>
        <v>0.15789473684210531</v>
      </c>
      <c r="C1" s="11">
        <f>C4/B4-1</f>
        <v>9.0909090909090828E-2</v>
      </c>
      <c r="D1" s="11"/>
      <c r="E1" s="26">
        <f>AVERAGE(A1:C1)</f>
        <v>0.14960127591706537</v>
      </c>
    </row>
    <row r="2" spans="1:160" ht="14.65" thickBot="1" x14ac:dyDescent="0.5">
      <c r="A2" t="s">
        <v>77</v>
      </c>
      <c r="B2" t="s">
        <v>77</v>
      </c>
      <c r="C2" t="s">
        <v>77</v>
      </c>
      <c r="D2" t="s">
        <v>76</v>
      </c>
      <c r="E2" t="s">
        <v>76</v>
      </c>
      <c r="F2" t="s">
        <v>76</v>
      </c>
      <c r="G2" t="s">
        <v>76</v>
      </c>
      <c r="M2" s="2" t="s">
        <v>75</v>
      </c>
      <c r="O2" s="2" t="s">
        <v>74</v>
      </c>
      <c r="U2" s="2" t="s">
        <v>73</v>
      </c>
      <c r="V2" s="2" t="s">
        <v>1</v>
      </c>
      <c r="W2" s="11">
        <f>60%</f>
        <v>0.6</v>
      </c>
      <c r="Y2" s="2" t="s">
        <v>23</v>
      </c>
      <c r="Z2" s="11">
        <f>2%</f>
        <v>0.02</v>
      </c>
    </row>
    <row r="3" spans="1:160" ht="14.65" thickBot="1" x14ac:dyDescent="0.5">
      <c r="A3" s="2">
        <v>2022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K3" s="103" t="s">
        <v>72</v>
      </c>
      <c r="L3" s="104"/>
      <c r="M3" s="105">
        <v>0.17</v>
      </c>
      <c r="N3" s="107" t="s">
        <v>78</v>
      </c>
      <c r="O3" s="111">
        <v>0.28000000000000003</v>
      </c>
      <c r="P3" s="106"/>
      <c r="Q3" s="100" t="s">
        <v>71</v>
      </c>
      <c r="R3" s="100"/>
      <c r="S3" s="100"/>
      <c r="T3" s="100"/>
      <c r="U3" s="101"/>
    </row>
    <row r="4" spans="1:160" x14ac:dyDescent="0.45">
      <c r="A4" s="58">
        <v>19</v>
      </c>
      <c r="B4" s="58">
        <v>22</v>
      </c>
      <c r="C4" s="58">
        <v>24</v>
      </c>
      <c r="D4" s="58">
        <f>C4*(1+$E$1)</f>
        <v>27.590430622009567</v>
      </c>
      <c r="E4" s="58">
        <f>D4*(1+$E$1)</f>
        <v>31.717994246163467</v>
      </c>
      <c r="F4" s="58">
        <f>E4*(1+$E$1)</f>
        <v>36.463046654919658</v>
      </c>
      <c r="G4" s="58">
        <f>F4*(1+$E$1)</f>
        <v>41.917964958319118</v>
      </c>
      <c r="H4" t="s">
        <v>70</v>
      </c>
      <c r="K4" s="74"/>
      <c r="L4" s="75"/>
      <c r="M4" s="75"/>
      <c r="N4" s="108" t="s">
        <v>10</v>
      </c>
      <c r="O4" s="112" t="s">
        <v>9</v>
      </c>
      <c r="P4" s="113" t="s">
        <v>8</v>
      </c>
      <c r="Q4" s="109">
        <v>2025</v>
      </c>
      <c r="R4" s="102">
        <v>2026</v>
      </c>
      <c r="S4" s="102">
        <v>2027</v>
      </c>
      <c r="T4" s="110">
        <v>2028</v>
      </c>
      <c r="U4" s="141" t="s">
        <v>3</v>
      </c>
    </row>
    <row r="5" spans="1:160" x14ac:dyDescent="0.45">
      <c r="A5">
        <f t="shared" ref="A5:G5" si="0">A4*60%</f>
        <v>11.4</v>
      </c>
      <c r="B5">
        <f t="shared" si="0"/>
        <v>13.2</v>
      </c>
      <c r="C5">
        <f t="shared" si="0"/>
        <v>14.399999999999999</v>
      </c>
      <c r="D5">
        <f t="shared" si="0"/>
        <v>16.554258373205741</v>
      </c>
      <c r="E5">
        <f t="shared" si="0"/>
        <v>19.030796547698081</v>
      </c>
      <c r="F5">
        <f t="shared" si="0"/>
        <v>21.877827992951794</v>
      </c>
      <c r="G5">
        <f t="shared" si="0"/>
        <v>25.150778974991471</v>
      </c>
      <c r="K5" s="76" t="s">
        <v>69</v>
      </c>
      <c r="L5" s="75"/>
      <c r="M5" s="75"/>
      <c r="N5" s="77">
        <f>A4</f>
        <v>19</v>
      </c>
      <c r="O5" s="114">
        <f>N5*(1+$M$3)</f>
        <v>22.229999999999997</v>
      </c>
      <c r="P5" s="115">
        <f>O5*(1+$M$3)</f>
        <v>26.009099999999993</v>
      </c>
      <c r="Q5" s="78">
        <f>P5*(1+$O$3)</f>
        <v>33.291647999999995</v>
      </c>
      <c r="R5" s="78">
        <f>Q5*(1+$O$3)</f>
        <v>42.613309439999995</v>
      </c>
      <c r="S5" s="78">
        <f>R5*(1+$O$3)</f>
        <v>54.545036083199996</v>
      </c>
      <c r="T5" s="78">
        <f>S5*(1+$O$3)</f>
        <v>69.817646186495992</v>
      </c>
      <c r="U5" s="67">
        <f>T5*(1+$O$3)</f>
        <v>89.366587118714875</v>
      </c>
    </row>
    <row r="6" spans="1:160" x14ac:dyDescent="0.45">
      <c r="A6" s="9">
        <f t="shared" ref="A6:G6" si="1">A5*30%</f>
        <v>3.42</v>
      </c>
      <c r="B6" s="9">
        <f t="shared" si="1"/>
        <v>3.9599999999999995</v>
      </c>
      <c r="C6" s="9">
        <f t="shared" si="1"/>
        <v>4.3199999999999994</v>
      </c>
      <c r="D6" s="9">
        <f t="shared" si="1"/>
        <v>4.9662775119617217</v>
      </c>
      <c r="E6" s="9">
        <f t="shared" si="1"/>
        <v>5.7092389643094243</v>
      </c>
      <c r="F6" s="9">
        <f t="shared" si="1"/>
        <v>6.5633483978855383</v>
      </c>
      <c r="G6" s="9">
        <f t="shared" si="1"/>
        <v>7.5452336924974412</v>
      </c>
      <c r="K6" s="76" t="s">
        <v>68</v>
      </c>
      <c r="L6" s="75"/>
      <c r="M6" s="75"/>
      <c r="N6" s="77">
        <f t="shared" ref="N6:U6" si="2">-N5*$W$2</f>
        <v>-11.4</v>
      </c>
      <c r="O6" s="116">
        <f t="shared" si="2"/>
        <v>-13.337999999999997</v>
      </c>
      <c r="P6" s="117">
        <f t="shared" si="2"/>
        <v>-15.605459999999995</v>
      </c>
      <c r="Q6" s="77">
        <f t="shared" si="2"/>
        <v>-19.974988799999995</v>
      </c>
      <c r="R6" s="77">
        <f t="shared" si="2"/>
        <v>-25.567985663999995</v>
      </c>
      <c r="S6" s="77">
        <f t="shared" si="2"/>
        <v>-32.727021649919998</v>
      </c>
      <c r="T6" s="77">
        <f t="shared" si="2"/>
        <v>-41.890587711897595</v>
      </c>
      <c r="U6" s="57">
        <f t="shared" si="2"/>
        <v>-53.619952271228925</v>
      </c>
    </row>
    <row r="7" spans="1:160" x14ac:dyDescent="0.45">
      <c r="K7" s="79" t="s">
        <v>67</v>
      </c>
      <c r="L7" s="60"/>
      <c r="M7" s="60"/>
      <c r="N7" s="61">
        <f t="shared" ref="N7:T7" si="3">+SUM(N5:N6)</f>
        <v>7.6</v>
      </c>
      <c r="O7" s="118">
        <f t="shared" si="3"/>
        <v>8.8919999999999995</v>
      </c>
      <c r="P7" s="119">
        <f t="shared" si="3"/>
        <v>10.403639999999998</v>
      </c>
      <c r="Q7" s="61">
        <f t="shared" si="3"/>
        <v>13.3166592</v>
      </c>
      <c r="R7" s="61">
        <f t="shared" si="3"/>
        <v>17.045323776</v>
      </c>
      <c r="S7" s="61">
        <f t="shared" si="3"/>
        <v>21.818014433279998</v>
      </c>
      <c r="T7" s="61">
        <f t="shared" si="3"/>
        <v>27.927058474598397</v>
      </c>
      <c r="U7" s="67">
        <f>T7*(1+$O$3)</f>
        <v>35.74663484748595</v>
      </c>
    </row>
    <row r="8" spans="1:160" x14ac:dyDescent="0.45">
      <c r="K8" s="76" t="s">
        <v>66</v>
      </c>
      <c r="L8" s="80"/>
      <c r="M8" s="80"/>
      <c r="N8" s="81">
        <f>-N7*15%</f>
        <v>-1.1399999999999999</v>
      </c>
      <c r="O8" s="120">
        <f t="shared" ref="O8:T8" si="4">-O7*20%</f>
        <v>-1.7784</v>
      </c>
      <c r="P8" s="121">
        <f t="shared" si="4"/>
        <v>-2.0807279999999997</v>
      </c>
      <c r="Q8" s="81">
        <f t="shared" si="4"/>
        <v>-2.6633318400000001</v>
      </c>
      <c r="R8" s="81">
        <f t="shared" si="4"/>
        <v>-3.4090647552000002</v>
      </c>
      <c r="S8" s="81">
        <f t="shared" si="4"/>
        <v>-4.3636028866559995</v>
      </c>
      <c r="T8" s="81">
        <f t="shared" si="4"/>
        <v>-5.5854116949196797</v>
      </c>
      <c r="U8" s="67">
        <f>T8*(1+$O$3)</f>
        <v>-7.1493269694971904</v>
      </c>
    </row>
    <row r="9" spans="1:160" x14ac:dyDescent="0.45">
      <c r="K9" s="79" t="s">
        <v>56</v>
      </c>
      <c r="L9" s="62"/>
      <c r="M9" s="62"/>
      <c r="N9" s="63">
        <f t="shared" ref="N9:T9" si="5">+SUM(N7:N8)</f>
        <v>6.46</v>
      </c>
      <c r="O9" s="122">
        <f t="shared" si="5"/>
        <v>7.1135999999999999</v>
      </c>
      <c r="P9" s="123">
        <f t="shared" si="5"/>
        <v>8.3229119999999988</v>
      </c>
      <c r="Q9" s="63">
        <f t="shared" si="5"/>
        <v>10.65332736</v>
      </c>
      <c r="R9" s="63">
        <f t="shared" si="5"/>
        <v>13.636259020800001</v>
      </c>
      <c r="S9" s="63">
        <f t="shared" si="5"/>
        <v>17.454411546623998</v>
      </c>
      <c r="T9" s="63">
        <f t="shared" si="5"/>
        <v>22.341646779678719</v>
      </c>
      <c r="U9" s="67">
        <f>T9*(1+$O$3)</f>
        <v>28.597307877988762</v>
      </c>
    </row>
    <row r="10" spans="1:160" x14ac:dyDescent="0.45">
      <c r="A10">
        <f>A4-A5</f>
        <v>7.6</v>
      </c>
      <c r="K10" s="76" t="s">
        <v>65</v>
      </c>
      <c r="L10" s="80"/>
      <c r="M10" s="80"/>
      <c r="N10" s="81">
        <f t="shared" ref="N10:T10" si="6">N9*-10%</f>
        <v>-0.64600000000000002</v>
      </c>
      <c r="O10" s="120">
        <f t="shared" si="6"/>
        <v>-0.71135999999999999</v>
      </c>
      <c r="P10" s="121">
        <f t="shared" si="6"/>
        <v>-0.8322911999999999</v>
      </c>
      <c r="Q10" s="81">
        <f t="shared" si="6"/>
        <v>-1.065332736</v>
      </c>
      <c r="R10" s="81">
        <f t="shared" si="6"/>
        <v>-1.3636259020800001</v>
      </c>
      <c r="S10" s="81">
        <f t="shared" si="6"/>
        <v>-1.7454411546623998</v>
      </c>
      <c r="T10" s="81">
        <f t="shared" si="6"/>
        <v>-2.2341646779678719</v>
      </c>
      <c r="U10" s="67">
        <f>T10*(1+$O$3)</f>
        <v>-2.8597307877988762</v>
      </c>
    </row>
    <row r="11" spans="1:160" x14ac:dyDescent="0.45">
      <c r="K11" s="82" t="s">
        <v>64</v>
      </c>
      <c r="L11" s="64"/>
      <c r="M11" s="64"/>
      <c r="N11" s="65">
        <f t="shared" ref="N11:T11" si="7">+SUM(N9:N10)</f>
        <v>5.8140000000000001</v>
      </c>
      <c r="O11" s="124">
        <f t="shared" si="7"/>
        <v>6.4022399999999999</v>
      </c>
      <c r="P11" s="125">
        <f t="shared" si="7"/>
        <v>7.4906207999999985</v>
      </c>
      <c r="Q11" s="65">
        <f t="shared" si="7"/>
        <v>9.5879946240000002</v>
      </c>
      <c r="R11" s="65">
        <f t="shared" si="7"/>
        <v>12.27263311872</v>
      </c>
      <c r="S11" s="65">
        <f t="shared" si="7"/>
        <v>15.708970391961598</v>
      </c>
      <c r="T11" s="65">
        <f t="shared" si="7"/>
        <v>20.107482101710847</v>
      </c>
      <c r="U11" s="67">
        <f>T11*(1+$O$3)</f>
        <v>25.737577090189884</v>
      </c>
    </row>
    <row r="12" spans="1:160" x14ac:dyDescent="0.45">
      <c r="K12" s="76" t="s">
        <v>55</v>
      </c>
      <c r="L12" s="83" t="s">
        <v>63</v>
      </c>
      <c r="M12" s="56">
        <v>0.24</v>
      </c>
      <c r="N12" s="84">
        <f t="shared" ref="N12:U12" si="8">-N11*$M$12</f>
        <v>-1.3953599999999999</v>
      </c>
      <c r="O12" s="126">
        <f t="shared" si="8"/>
        <v>-1.5365375999999999</v>
      </c>
      <c r="P12" s="127">
        <f t="shared" si="8"/>
        <v>-1.7977489919999996</v>
      </c>
      <c r="Q12" s="84">
        <f t="shared" si="8"/>
        <v>-2.3011187097599999</v>
      </c>
      <c r="R12" s="84">
        <f t="shared" si="8"/>
        <v>-2.9454319484928</v>
      </c>
      <c r="S12" s="84">
        <f t="shared" si="8"/>
        <v>-3.7701528940707836</v>
      </c>
      <c r="T12" s="84">
        <f t="shared" si="8"/>
        <v>-4.825795704410603</v>
      </c>
      <c r="U12" s="55">
        <f t="shared" si="8"/>
        <v>-6.1770185016455716</v>
      </c>
    </row>
    <row r="13" spans="1:160" x14ac:dyDescent="0.45">
      <c r="K13" s="82" t="s">
        <v>62</v>
      </c>
      <c r="L13" s="64"/>
      <c r="M13" s="64"/>
      <c r="N13" s="65">
        <f t="shared" ref="N13:T13" si="9">SUM(N11:N12)</f>
        <v>4.4186399999999999</v>
      </c>
      <c r="O13" s="128">
        <f t="shared" si="9"/>
        <v>4.8657024</v>
      </c>
      <c r="P13" s="125">
        <f t="shared" si="9"/>
        <v>5.6928718079999987</v>
      </c>
      <c r="Q13" s="65">
        <f t="shared" si="9"/>
        <v>7.2868759142400004</v>
      </c>
      <c r="R13" s="65">
        <f t="shared" si="9"/>
        <v>9.3272011702272</v>
      </c>
      <c r="S13" s="65">
        <f t="shared" si="9"/>
        <v>11.938817497890815</v>
      </c>
      <c r="T13" s="65">
        <f t="shared" si="9"/>
        <v>15.281686397300245</v>
      </c>
      <c r="U13" s="66">
        <f t="shared" ref="U13:AH13" si="10">T13*(1+5%)</f>
        <v>16.045770717165258</v>
      </c>
      <c r="V13" s="54">
        <f t="shared" si="10"/>
        <v>16.848059253023521</v>
      </c>
      <c r="W13" s="54">
        <f t="shared" si="10"/>
        <v>17.6904622156747</v>
      </c>
      <c r="X13" s="54">
        <f t="shared" si="10"/>
        <v>18.574985326458435</v>
      </c>
      <c r="Y13" s="54">
        <f t="shared" si="10"/>
        <v>19.503734592781356</v>
      </c>
      <c r="Z13" s="54">
        <f t="shared" si="10"/>
        <v>20.478921322420426</v>
      </c>
      <c r="AA13" s="54">
        <f t="shared" si="10"/>
        <v>21.50286738854145</v>
      </c>
      <c r="AB13" s="54">
        <f t="shared" si="10"/>
        <v>22.578010757968524</v>
      </c>
      <c r="AC13" s="54">
        <f t="shared" si="10"/>
        <v>23.706911295866952</v>
      </c>
      <c r="AD13" s="54">
        <f t="shared" si="10"/>
        <v>24.8922568606603</v>
      </c>
      <c r="AE13" s="54">
        <f t="shared" si="10"/>
        <v>26.136869703693318</v>
      </c>
      <c r="AF13" s="54">
        <f t="shared" si="10"/>
        <v>27.443713188877986</v>
      </c>
      <c r="AG13" s="54">
        <f t="shared" si="10"/>
        <v>28.815898848321886</v>
      </c>
      <c r="AH13" s="54">
        <f t="shared" si="10"/>
        <v>30.25669379073798</v>
      </c>
      <c r="AI13" s="54">
        <f t="shared" ref="AI13:BN13" si="11">AH13*(1+2%)</f>
        <v>30.861827666552742</v>
      </c>
      <c r="AJ13" s="54">
        <f t="shared" si="11"/>
        <v>31.479064219883796</v>
      </c>
      <c r="AK13" s="54">
        <f t="shared" si="11"/>
        <v>32.108645504281469</v>
      </c>
      <c r="AL13" s="54">
        <f t="shared" si="11"/>
        <v>32.750818414367096</v>
      </c>
      <c r="AM13" s="54">
        <f t="shared" si="11"/>
        <v>33.405834782654438</v>
      </c>
      <c r="AN13" s="54">
        <f t="shared" si="11"/>
        <v>34.073951478307528</v>
      </c>
      <c r="AO13" s="54">
        <f t="shared" si="11"/>
        <v>34.755430507873676</v>
      </c>
      <c r="AP13" s="54">
        <f t="shared" si="11"/>
        <v>35.450539118031152</v>
      </c>
      <c r="AQ13" s="54">
        <f t="shared" si="11"/>
        <v>36.159549900391774</v>
      </c>
      <c r="AR13" s="54">
        <f t="shared" si="11"/>
        <v>36.882740898399611</v>
      </c>
      <c r="AS13" s="54">
        <f t="shared" si="11"/>
        <v>37.620395716367604</v>
      </c>
      <c r="AT13" s="54">
        <f t="shared" si="11"/>
        <v>38.372803630694953</v>
      </c>
      <c r="AU13" s="54">
        <f t="shared" si="11"/>
        <v>39.14025970330885</v>
      </c>
      <c r="AV13" s="54">
        <f t="shared" si="11"/>
        <v>39.923064897375028</v>
      </c>
      <c r="AW13" s="54">
        <f t="shared" si="11"/>
        <v>40.721526195322532</v>
      </c>
      <c r="AX13" s="54">
        <f t="shared" si="11"/>
        <v>41.535956719228984</v>
      </c>
      <c r="AY13" s="54">
        <f t="shared" si="11"/>
        <v>42.366675853613565</v>
      </c>
      <c r="AZ13" s="54">
        <f t="shared" si="11"/>
        <v>43.214009370685837</v>
      </c>
      <c r="BA13" s="54">
        <f t="shared" si="11"/>
        <v>44.078289558099556</v>
      </c>
      <c r="BB13" s="54">
        <f t="shared" si="11"/>
        <v>44.959855349261545</v>
      </c>
      <c r="BC13" s="54">
        <f t="shared" si="11"/>
        <v>45.859052456246779</v>
      </c>
      <c r="BD13" s="54">
        <f t="shared" si="11"/>
        <v>46.776233505371714</v>
      </c>
      <c r="BE13" s="54">
        <f t="shared" si="11"/>
        <v>47.711758175479147</v>
      </c>
      <c r="BF13" s="54">
        <f t="shared" si="11"/>
        <v>48.665993338988734</v>
      </c>
      <c r="BG13" s="54">
        <f t="shared" si="11"/>
        <v>49.639313205768509</v>
      </c>
      <c r="BH13" s="54">
        <f t="shared" si="11"/>
        <v>50.632099469883883</v>
      </c>
      <c r="BI13" s="54">
        <f t="shared" si="11"/>
        <v>51.644741459281562</v>
      </c>
      <c r="BJ13" s="54">
        <f t="shared" si="11"/>
        <v>52.677636288467191</v>
      </c>
      <c r="BK13" s="54">
        <f t="shared" si="11"/>
        <v>53.731189014236534</v>
      </c>
      <c r="BL13" s="54">
        <f t="shared" si="11"/>
        <v>54.805812794521266</v>
      </c>
      <c r="BM13" s="54">
        <f t="shared" si="11"/>
        <v>55.901929050411695</v>
      </c>
      <c r="BN13" s="54">
        <f t="shared" si="11"/>
        <v>57.019967631419931</v>
      </c>
      <c r="BO13" s="54">
        <f t="shared" ref="BO13:CT13" si="12">BN13*(1+2%)</f>
        <v>58.160366984048331</v>
      </c>
      <c r="BP13" s="54">
        <f t="shared" si="12"/>
        <v>59.323574323729297</v>
      </c>
      <c r="BQ13" s="54">
        <f t="shared" si="12"/>
        <v>60.510045810203884</v>
      </c>
      <c r="BR13" s="54">
        <f t="shared" si="12"/>
        <v>61.720246726407964</v>
      </c>
      <c r="BS13" s="54">
        <f t="shared" si="12"/>
        <v>62.954651660936122</v>
      </c>
      <c r="BT13" s="54">
        <f t="shared" si="12"/>
        <v>64.21374469415484</v>
      </c>
      <c r="BU13" s="54">
        <f t="shared" si="12"/>
        <v>65.498019588037934</v>
      </c>
      <c r="BV13" s="54">
        <f t="shared" si="12"/>
        <v>66.807979979798688</v>
      </c>
      <c r="BW13" s="54">
        <f t="shared" si="12"/>
        <v>68.144139579394661</v>
      </c>
      <c r="BX13" s="54">
        <f t="shared" si="12"/>
        <v>69.507022370982554</v>
      </c>
      <c r="BY13" s="54">
        <f t="shared" si="12"/>
        <v>70.897162818402208</v>
      </c>
      <c r="BZ13" s="54">
        <f t="shared" si="12"/>
        <v>72.315106074770256</v>
      </c>
      <c r="CA13" s="54">
        <f t="shared" si="12"/>
        <v>73.761408196265663</v>
      </c>
      <c r="CB13" s="54">
        <f t="shared" si="12"/>
        <v>75.236636360190971</v>
      </c>
      <c r="CC13" s="54">
        <f t="shared" si="12"/>
        <v>76.741369087394787</v>
      </c>
      <c r="CD13" s="54">
        <f t="shared" si="12"/>
        <v>78.27619646914269</v>
      </c>
      <c r="CE13" s="54">
        <f t="shared" si="12"/>
        <v>79.841720398525538</v>
      </c>
      <c r="CF13" s="54">
        <f t="shared" si="12"/>
        <v>81.438554806496057</v>
      </c>
      <c r="CG13" s="54">
        <f t="shared" si="12"/>
        <v>83.067325902625981</v>
      </c>
      <c r="CH13" s="54">
        <f t="shared" si="12"/>
        <v>84.728672420678507</v>
      </c>
      <c r="CI13" s="54">
        <f t="shared" si="12"/>
        <v>86.423245869092085</v>
      </c>
      <c r="CJ13" s="54">
        <f t="shared" si="12"/>
        <v>88.151710786473927</v>
      </c>
      <c r="CK13" s="54">
        <f t="shared" si="12"/>
        <v>89.914745002203404</v>
      </c>
      <c r="CL13" s="54">
        <f t="shared" si="12"/>
        <v>91.713039902247473</v>
      </c>
      <c r="CM13" s="54">
        <f t="shared" si="12"/>
        <v>93.547300700292425</v>
      </c>
      <c r="CN13" s="54">
        <f t="shared" si="12"/>
        <v>95.418246714298277</v>
      </c>
      <c r="CO13" s="54">
        <f t="shared" si="12"/>
        <v>97.326611648584247</v>
      </c>
      <c r="CP13" s="54">
        <f t="shared" si="12"/>
        <v>99.273143881555939</v>
      </c>
      <c r="CQ13" s="54">
        <f t="shared" si="12"/>
        <v>101.25860675918706</v>
      </c>
      <c r="CR13" s="54">
        <f t="shared" si="12"/>
        <v>103.2837788943708</v>
      </c>
      <c r="CS13" s="54">
        <f t="shared" si="12"/>
        <v>105.34945447225822</v>
      </c>
      <c r="CT13" s="54">
        <f t="shared" si="12"/>
        <v>107.45644356170338</v>
      </c>
      <c r="CU13" s="54">
        <f t="shared" ref="CU13:DZ13" si="13">CT13*(1+2%)</f>
        <v>109.60557243293745</v>
      </c>
      <c r="CV13" s="54">
        <f t="shared" si="13"/>
        <v>111.7976838815962</v>
      </c>
      <c r="CW13" s="54">
        <f t="shared" si="13"/>
        <v>114.03363755922813</v>
      </c>
      <c r="CX13" s="54">
        <f t="shared" si="13"/>
        <v>116.31431031041269</v>
      </c>
      <c r="CY13" s="54">
        <f t="shared" si="13"/>
        <v>118.64059651662095</v>
      </c>
      <c r="CZ13" s="54">
        <f t="shared" si="13"/>
        <v>121.01340844695336</v>
      </c>
      <c r="DA13" s="54">
        <f t="shared" si="13"/>
        <v>123.43367661589244</v>
      </c>
      <c r="DB13" s="54">
        <f t="shared" si="13"/>
        <v>125.90235014821029</v>
      </c>
      <c r="DC13" s="54">
        <f t="shared" si="13"/>
        <v>128.42039715117448</v>
      </c>
      <c r="DD13" s="54">
        <f t="shared" si="13"/>
        <v>130.98880509419797</v>
      </c>
      <c r="DE13" s="54">
        <f t="shared" si="13"/>
        <v>133.60858119608193</v>
      </c>
      <c r="DF13" s="54">
        <f t="shared" si="13"/>
        <v>136.28075282000356</v>
      </c>
      <c r="DG13" s="54">
        <f t="shared" si="13"/>
        <v>139.00636787640363</v>
      </c>
      <c r="DH13" s="54">
        <f t="shared" si="13"/>
        <v>141.7864952339317</v>
      </c>
      <c r="DI13" s="54">
        <f t="shared" si="13"/>
        <v>144.62222513861033</v>
      </c>
      <c r="DJ13" s="54">
        <f t="shared" si="13"/>
        <v>147.51466964138254</v>
      </c>
      <c r="DK13" s="54">
        <f t="shared" si="13"/>
        <v>150.4649630342102</v>
      </c>
      <c r="DL13" s="54">
        <f t="shared" si="13"/>
        <v>153.4742622948944</v>
      </c>
      <c r="DM13" s="54">
        <f t="shared" si="13"/>
        <v>156.54374754079228</v>
      </c>
      <c r="DN13" s="54">
        <f t="shared" si="13"/>
        <v>159.67462249160812</v>
      </c>
      <c r="DO13" s="54">
        <f t="shared" si="13"/>
        <v>162.8681149414403</v>
      </c>
      <c r="DP13" s="54">
        <f t="shared" si="13"/>
        <v>166.12547724026911</v>
      </c>
      <c r="DQ13" s="54">
        <f t="shared" si="13"/>
        <v>169.44798678507451</v>
      </c>
      <c r="DR13" s="54">
        <f t="shared" si="13"/>
        <v>172.836946520776</v>
      </c>
      <c r="DS13" s="54">
        <f t="shared" si="13"/>
        <v>176.29368545119152</v>
      </c>
      <c r="DT13" s="54">
        <f t="shared" si="13"/>
        <v>179.81955916021536</v>
      </c>
      <c r="DU13" s="54">
        <f t="shared" si="13"/>
        <v>183.41595034341967</v>
      </c>
      <c r="DV13" s="54">
        <f t="shared" si="13"/>
        <v>187.08426935028805</v>
      </c>
      <c r="DW13" s="54">
        <f t="shared" si="13"/>
        <v>190.82595473729381</v>
      </c>
      <c r="DX13" s="54">
        <f t="shared" si="13"/>
        <v>194.64247383203968</v>
      </c>
      <c r="DY13" s="54">
        <f t="shared" si="13"/>
        <v>198.53532330868049</v>
      </c>
      <c r="DZ13" s="54">
        <f t="shared" si="13"/>
        <v>202.50602977485411</v>
      </c>
      <c r="EA13" s="54">
        <f t="shared" ref="EA13:FD13" si="14">DZ13*(1+2%)</f>
        <v>206.55615037035119</v>
      </c>
      <c r="EB13" s="54">
        <f t="shared" si="14"/>
        <v>210.68727337775823</v>
      </c>
      <c r="EC13" s="54">
        <f t="shared" si="14"/>
        <v>214.90101884531339</v>
      </c>
      <c r="ED13" s="54">
        <f t="shared" si="14"/>
        <v>219.19903922221965</v>
      </c>
      <c r="EE13" s="54">
        <f t="shared" si="14"/>
        <v>223.58302000666404</v>
      </c>
      <c r="EF13" s="54">
        <f t="shared" si="14"/>
        <v>228.05468040679733</v>
      </c>
      <c r="EG13" s="54">
        <f t="shared" si="14"/>
        <v>232.61577401493329</v>
      </c>
      <c r="EH13" s="54">
        <f t="shared" si="14"/>
        <v>237.26808949523198</v>
      </c>
      <c r="EI13" s="54">
        <f t="shared" si="14"/>
        <v>242.01345128513663</v>
      </c>
      <c r="EJ13" s="54">
        <f t="shared" si="14"/>
        <v>246.85372031083935</v>
      </c>
      <c r="EK13" s="54">
        <f t="shared" si="14"/>
        <v>251.79079471705614</v>
      </c>
      <c r="EL13" s="54">
        <f t="shared" si="14"/>
        <v>256.82661061139726</v>
      </c>
      <c r="EM13" s="54">
        <f t="shared" si="14"/>
        <v>261.96314282362522</v>
      </c>
      <c r="EN13" s="54">
        <f t="shared" si="14"/>
        <v>267.20240568009774</v>
      </c>
      <c r="EO13" s="54">
        <f t="shared" si="14"/>
        <v>272.5464537936997</v>
      </c>
      <c r="EP13" s="54">
        <f t="shared" si="14"/>
        <v>277.9973828695737</v>
      </c>
      <c r="EQ13" s="54">
        <f t="shared" si="14"/>
        <v>283.55733052696519</v>
      </c>
      <c r="ER13" s="54">
        <f t="shared" si="14"/>
        <v>289.22847713750451</v>
      </c>
      <c r="ES13" s="54">
        <f t="shared" si="14"/>
        <v>295.0130466802546</v>
      </c>
      <c r="ET13" s="54">
        <f t="shared" si="14"/>
        <v>300.91330761385973</v>
      </c>
      <c r="EU13" s="54">
        <f t="shared" si="14"/>
        <v>306.93157376613692</v>
      </c>
      <c r="EV13" s="54">
        <f t="shared" si="14"/>
        <v>313.07020524145969</v>
      </c>
      <c r="EW13" s="54">
        <f t="shared" si="14"/>
        <v>319.33160934628887</v>
      </c>
      <c r="EX13" s="54">
        <f t="shared" si="14"/>
        <v>325.71824153321467</v>
      </c>
      <c r="EY13" s="54">
        <f t="shared" si="14"/>
        <v>332.23260636387897</v>
      </c>
      <c r="EZ13" s="54">
        <f t="shared" si="14"/>
        <v>338.87725849115657</v>
      </c>
      <c r="FA13" s="54">
        <f t="shared" si="14"/>
        <v>345.65480366097972</v>
      </c>
      <c r="FB13" s="54">
        <f t="shared" si="14"/>
        <v>352.56789973419933</v>
      </c>
      <c r="FC13" s="54">
        <f t="shared" si="14"/>
        <v>359.61925772888333</v>
      </c>
      <c r="FD13" s="54">
        <f t="shared" si="14"/>
        <v>366.81164288346099</v>
      </c>
    </row>
    <row r="14" spans="1:160" ht="14.65" thickBot="1" x14ac:dyDescent="0.5">
      <c r="K14" s="85"/>
      <c r="L14" s="80"/>
      <c r="M14" s="80"/>
      <c r="N14" s="84"/>
      <c r="O14" s="90" t="s">
        <v>61</v>
      </c>
      <c r="P14" s="127">
        <f>NPV(V15,P13:FD13)</f>
        <v>194.29238689014389</v>
      </c>
      <c r="Q14" s="86"/>
      <c r="R14" s="86"/>
      <c r="S14" s="86"/>
      <c r="T14" s="86" t="s">
        <v>60</v>
      </c>
      <c r="U14" s="68">
        <f>T7*17.5</f>
        <v>488.72352330547193</v>
      </c>
    </row>
    <row r="15" spans="1:160" ht="14.65" thickBot="1" x14ac:dyDescent="0.5">
      <c r="K15" s="97" t="s">
        <v>59</v>
      </c>
      <c r="L15" s="98"/>
      <c r="M15" s="98"/>
      <c r="N15" s="99"/>
      <c r="O15" s="129"/>
      <c r="P15" s="106"/>
      <c r="Q15" s="100"/>
      <c r="R15" s="100"/>
      <c r="S15" s="100"/>
      <c r="T15" s="100"/>
      <c r="U15" s="101" t="s">
        <v>26</v>
      </c>
      <c r="V15" s="53">
        <v>0.1</v>
      </c>
      <c r="X15" t="s">
        <v>58</v>
      </c>
      <c r="AA15" t="s">
        <v>57</v>
      </c>
    </row>
    <row r="16" spans="1:160" x14ac:dyDescent="0.45">
      <c r="K16" s="76" t="s">
        <v>56</v>
      </c>
      <c r="L16" s="80"/>
      <c r="M16" s="80"/>
      <c r="N16" s="84">
        <f t="shared" ref="N16:T16" si="15">+N9</f>
        <v>6.46</v>
      </c>
      <c r="O16" s="130">
        <f t="shared" si="15"/>
        <v>7.1135999999999999</v>
      </c>
      <c r="P16" s="127">
        <f t="shared" si="15"/>
        <v>8.3229119999999988</v>
      </c>
      <c r="Q16" s="84">
        <f t="shared" si="15"/>
        <v>10.65332736</v>
      </c>
      <c r="R16" s="84">
        <f t="shared" si="15"/>
        <v>13.636259020800001</v>
      </c>
      <c r="S16" s="84">
        <f t="shared" si="15"/>
        <v>17.454411546623998</v>
      </c>
      <c r="T16" s="84">
        <f t="shared" si="15"/>
        <v>22.341646779678719</v>
      </c>
      <c r="U16" s="69"/>
    </row>
    <row r="17" spans="11:160" x14ac:dyDescent="0.45">
      <c r="K17" s="76" t="s">
        <v>55</v>
      </c>
      <c r="L17" s="80"/>
      <c r="M17" s="80"/>
      <c r="N17" s="84">
        <f t="shared" ref="N17:T17" si="16">-$M$12*N16</f>
        <v>-1.5504</v>
      </c>
      <c r="O17" s="130">
        <f t="shared" si="16"/>
        <v>-1.7072639999999999</v>
      </c>
      <c r="P17" s="127">
        <f t="shared" si="16"/>
        <v>-1.9974988799999995</v>
      </c>
      <c r="Q17" s="84">
        <f t="shared" si="16"/>
        <v>-2.5567985663999999</v>
      </c>
      <c r="R17" s="84">
        <f t="shared" si="16"/>
        <v>-3.2727021649919998</v>
      </c>
      <c r="S17" s="84">
        <f t="shared" si="16"/>
        <v>-4.1890587711897593</v>
      </c>
      <c r="T17" s="84">
        <f t="shared" si="16"/>
        <v>-5.3619952271228923</v>
      </c>
      <c r="U17" s="69"/>
    </row>
    <row r="18" spans="11:160" x14ac:dyDescent="0.45">
      <c r="K18" s="87" t="s">
        <v>54</v>
      </c>
      <c r="L18" s="70"/>
      <c r="M18" s="70"/>
      <c r="N18" s="71">
        <f t="shared" ref="N18:T18" si="17">SUM(N16:N17)</f>
        <v>4.9096000000000002</v>
      </c>
      <c r="O18" s="131">
        <f t="shared" si="17"/>
        <v>5.4063359999999996</v>
      </c>
      <c r="P18" s="132">
        <f t="shared" si="17"/>
        <v>6.3254131199999994</v>
      </c>
      <c r="Q18" s="71">
        <f t="shared" si="17"/>
        <v>8.096528793600001</v>
      </c>
      <c r="R18" s="71">
        <f t="shared" si="17"/>
        <v>10.363556855808001</v>
      </c>
      <c r="S18" s="71">
        <f t="shared" si="17"/>
        <v>13.265352775434238</v>
      </c>
      <c r="T18" s="71">
        <f t="shared" si="17"/>
        <v>16.979651552555826</v>
      </c>
      <c r="U18" s="69"/>
    </row>
    <row r="19" spans="11:160" x14ac:dyDescent="0.45">
      <c r="K19" s="85" t="s">
        <v>53</v>
      </c>
      <c r="L19" s="80"/>
      <c r="M19" s="80"/>
      <c r="N19" s="80">
        <f t="shared" ref="N19:T19" si="18">N18*25%</f>
        <v>1.2274</v>
      </c>
      <c r="O19" s="85">
        <f t="shared" si="18"/>
        <v>1.3515839999999999</v>
      </c>
      <c r="P19" s="133">
        <f t="shared" si="18"/>
        <v>1.5813532799999999</v>
      </c>
      <c r="Q19" s="80">
        <f t="shared" si="18"/>
        <v>2.0241321984000002</v>
      </c>
      <c r="R19" s="80">
        <f t="shared" si="18"/>
        <v>2.5908892139520003</v>
      </c>
      <c r="S19" s="80">
        <f t="shared" si="18"/>
        <v>3.3163381938585594</v>
      </c>
      <c r="T19" s="80">
        <f t="shared" si="18"/>
        <v>4.2449128881389564</v>
      </c>
      <c r="U19" s="69"/>
    </row>
    <row r="20" spans="11:160" x14ac:dyDescent="0.45">
      <c r="K20" s="88" t="s">
        <v>52</v>
      </c>
      <c r="L20" s="89"/>
      <c r="M20" s="89"/>
      <c r="N20" s="89">
        <f t="shared" ref="N20:T20" si="19">-N5*(10%)</f>
        <v>-1.9000000000000001</v>
      </c>
      <c r="O20" s="88">
        <f t="shared" si="19"/>
        <v>-2.2229999999999999</v>
      </c>
      <c r="P20" s="134">
        <f t="shared" si="19"/>
        <v>-2.6009099999999994</v>
      </c>
      <c r="Q20" s="89">
        <f t="shared" si="19"/>
        <v>-3.3291647999999996</v>
      </c>
      <c r="R20" s="89">
        <f t="shared" si="19"/>
        <v>-4.261330944</v>
      </c>
      <c r="S20" s="89">
        <f t="shared" si="19"/>
        <v>-5.4545036083199996</v>
      </c>
      <c r="T20" s="89">
        <f t="shared" si="19"/>
        <v>-6.9817646186495992</v>
      </c>
      <c r="U20" s="69"/>
    </row>
    <row r="21" spans="11:160" x14ac:dyDescent="0.45">
      <c r="K21" s="90" t="s">
        <v>51</v>
      </c>
      <c r="L21" s="86"/>
      <c r="M21" s="86"/>
      <c r="N21" s="91">
        <f t="shared" ref="N21:T21" si="20">-N13*5%</f>
        <v>-0.22093200000000002</v>
      </c>
      <c r="O21" s="135">
        <f t="shared" si="20"/>
        <v>-0.24328512000000002</v>
      </c>
      <c r="P21" s="136">
        <f t="shared" si="20"/>
        <v>-0.28464359039999992</v>
      </c>
      <c r="Q21" s="91">
        <f t="shared" si="20"/>
        <v>-0.36434379571200004</v>
      </c>
      <c r="R21" s="91">
        <f t="shared" si="20"/>
        <v>-0.46636005851136003</v>
      </c>
      <c r="S21" s="91">
        <f t="shared" si="20"/>
        <v>-0.59694087489454073</v>
      </c>
      <c r="T21" s="91">
        <f t="shared" si="20"/>
        <v>-0.76408431986501224</v>
      </c>
      <c r="U21" s="69"/>
    </row>
    <row r="22" spans="11:160" x14ac:dyDescent="0.45">
      <c r="K22" s="90"/>
      <c r="L22" s="86"/>
      <c r="M22" s="86"/>
      <c r="N22" s="91" t="s">
        <v>50</v>
      </c>
      <c r="O22" s="135"/>
      <c r="P22" s="137" t="s">
        <v>49</v>
      </c>
      <c r="Q22" s="92">
        <v>1</v>
      </c>
      <c r="R22" s="92">
        <v>2</v>
      </c>
      <c r="S22" s="92">
        <v>3</v>
      </c>
      <c r="T22" s="92">
        <v>4</v>
      </c>
      <c r="U22" s="69">
        <v>5</v>
      </c>
    </row>
    <row r="23" spans="11:160" x14ac:dyDescent="0.45">
      <c r="K23" s="90" t="s">
        <v>40</v>
      </c>
      <c r="L23" s="86"/>
      <c r="M23" s="86"/>
      <c r="N23" s="84">
        <f t="shared" ref="N23:T23" si="21">SUM(N18+N19+N20+N21)</f>
        <v>4.0160679999999997</v>
      </c>
      <c r="O23" s="130">
        <f t="shared" si="21"/>
        <v>4.2916348799999993</v>
      </c>
      <c r="P23" s="127">
        <f t="shared" si="21"/>
        <v>5.0212128095999997</v>
      </c>
      <c r="Q23" s="84">
        <f t="shared" si="21"/>
        <v>6.4271523962880019</v>
      </c>
      <c r="R23" s="84">
        <f t="shared" si="21"/>
        <v>8.2267550672486429</v>
      </c>
      <c r="S23" s="84">
        <f t="shared" si="21"/>
        <v>10.530246486078257</v>
      </c>
      <c r="T23" s="84">
        <f t="shared" si="21"/>
        <v>13.478715502180169</v>
      </c>
      <c r="U23" s="72">
        <f t="shared" ref="U23:AZ23" si="22">T23*(1+$Z$2)</f>
        <v>13.748289812223772</v>
      </c>
      <c r="V23" s="31">
        <f t="shared" si="22"/>
        <v>14.023255608468249</v>
      </c>
      <c r="W23" s="31">
        <f t="shared" si="22"/>
        <v>14.303720720637614</v>
      </c>
      <c r="X23" s="31">
        <f t="shared" si="22"/>
        <v>14.589795135050366</v>
      </c>
      <c r="Y23" s="31">
        <f t="shared" si="22"/>
        <v>14.881591037751374</v>
      </c>
      <c r="Z23" s="31">
        <f t="shared" si="22"/>
        <v>15.179222858506401</v>
      </c>
      <c r="AA23" s="31">
        <f t="shared" si="22"/>
        <v>15.48280731567653</v>
      </c>
      <c r="AB23" s="31">
        <f t="shared" si="22"/>
        <v>15.79246346199006</v>
      </c>
      <c r="AC23" s="31">
        <f t="shared" si="22"/>
        <v>16.108312731229862</v>
      </c>
      <c r="AD23" s="31">
        <f t="shared" si="22"/>
        <v>16.43047898585446</v>
      </c>
      <c r="AE23" s="31">
        <f t="shared" si="22"/>
        <v>16.759088565571549</v>
      </c>
      <c r="AF23" s="31">
        <f t="shared" si="22"/>
        <v>17.094270336882982</v>
      </c>
      <c r="AG23" s="31">
        <f t="shared" si="22"/>
        <v>17.436155743620642</v>
      </c>
      <c r="AH23" s="31">
        <f t="shared" si="22"/>
        <v>17.784878858493055</v>
      </c>
      <c r="AI23" s="31">
        <f t="shared" si="22"/>
        <v>18.140576435662918</v>
      </c>
      <c r="AJ23" s="31">
        <f t="shared" si="22"/>
        <v>18.503387964376177</v>
      </c>
      <c r="AK23" s="31">
        <f t="shared" si="22"/>
        <v>18.8734557236637</v>
      </c>
      <c r="AL23" s="31">
        <f t="shared" si="22"/>
        <v>19.250924838136974</v>
      </c>
      <c r="AM23" s="31">
        <f t="shared" si="22"/>
        <v>19.635943334899714</v>
      </c>
      <c r="AN23" s="31">
        <f t="shared" si="22"/>
        <v>20.028662201597708</v>
      </c>
      <c r="AO23" s="31">
        <f t="shared" si="22"/>
        <v>20.429235445629661</v>
      </c>
      <c r="AP23" s="31">
        <f t="shared" si="22"/>
        <v>20.837820154542253</v>
      </c>
      <c r="AQ23" s="31">
        <f t="shared" si="22"/>
        <v>21.254576557633097</v>
      </c>
      <c r="AR23" s="31">
        <f t="shared" si="22"/>
        <v>21.67966808878576</v>
      </c>
      <c r="AS23" s="31">
        <f t="shared" si="22"/>
        <v>22.113261450561478</v>
      </c>
      <c r="AT23" s="31">
        <f t="shared" si="22"/>
        <v>22.555526679572708</v>
      </c>
      <c r="AU23" s="31">
        <f t="shared" si="22"/>
        <v>23.006637213164161</v>
      </c>
      <c r="AV23" s="31">
        <f t="shared" si="22"/>
        <v>23.466769957427445</v>
      </c>
      <c r="AW23" s="31">
        <f t="shared" si="22"/>
        <v>23.936105356575993</v>
      </c>
      <c r="AX23" s="31">
        <f t="shared" si="22"/>
        <v>24.414827463707514</v>
      </c>
      <c r="AY23" s="31">
        <f t="shared" si="22"/>
        <v>24.903124012981664</v>
      </c>
      <c r="AZ23" s="31">
        <f t="shared" si="22"/>
        <v>25.401186493241298</v>
      </c>
      <c r="BA23" s="31">
        <f t="shared" ref="BA23:CF23" si="23">AZ23*(1+$Z$2)</f>
        <v>25.909210223106125</v>
      </c>
      <c r="BB23" s="31">
        <f t="shared" si="23"/>
        <v>26.427394427568249</v>
      </c>
      <c r="BC23" s="31">
        <f t="shared" si="23"/>
        <v>26.955942316119614</v>
      </c>
      <c r="BD23" s="31">
        <f t="shared" si="23"/>
        <v>27.495061162442006</v>
      </c>
      <c r="BE23" s="31">
        <f t="shared" si="23"/>
        <v>28.044962385690848</v>
      </c>
      <c r="BF23" s="31">
        <f t="shared" si="23"/>
        <v>28.605861633404665</v>
      </c>
      <c r="BG23" s="31">
        <f t="shared" si="23"/>
        <v>29.17797886607276</v>
      </c>
      <c r="BH23" s="31">
        <f t="shared" si="23"/>
        <v>29.761538443394215</v>
      </c>
      <c r="BI23" s="31">
        <f t="shared" si="23"/>
        <v>30.356769212262101</v>
      </c>
      <c r="BJ23" s="31">
        <f t="shared" si="23"/>
        <v>30.963904596507344</v>
      </c>
      <c r="BK23" s="31">
        <f t="shared" si="23"/>
        <v>31.583182688437493</v>
      </c>
      <c r="BL23" s="31">
        <f t="shared" si="23"/>
        <v>32.214846342206243</v>
      </c>
      <c r="BM23" s="31">
        <f t="shared" si="23"/>
        <v>32.859143269050371</v>
      </c>
      <c r="BN23" s="31">
        <f t="shared" si="23"/>
        <v>33.516326134431381</v>
      </c>
      <c r="BO23" s="31">
        <f t="shared" si="23"/>
        <v>34.186652657120007</v>
      </c>
      <c r="BP23" s="31">
        <f t="shared" si="23"/>
        <v>34.870385710262404</v>
      </c>
      <c r="BQ23" s="31">
        <f t="shared" si="23"/>
        <v>35.567793424467652</v>
      </c>
      <c r="BR23" s="31">
        <f t="shared" si="23"/>
        <v>36.279149292957008</v>
      </c>
      <c r="BS23" s="31">
        <f t="shared" si="23"/>
        <v>37.004732278816149</v>
      </c>
      <c r="BT23" s="31">
        <f t="shared" si="23"/>
        <v>37.74482692439247</v>
      </c>
      <c r="BU23" s="31">
        <f t="shared" si="23"/>
        <v>38.499723462880318</v>
      </c>
      <c r="BV23" s="31">
        <f t="shared" si="23"/>
        <v>39.269717932137922</v>
      </c>
      <c r="BW23" s="31">
        <f t="shared" si="23"/>
        <v>40.055112290780684</v>
      </c>
      <c r="BX23" s="31">
        <f t="shared" si="23"/>
        <v>40.856214536596298</v>
      </c>
      <c r="BY23" s="31">
        <f t="shared" si="23"/>
        <v>41.673338827328223</v>
      </c>
      <c r="BZ23" s="31">
        <f t="shared" si="23"/>
        <v>42.506805603874788</v>
      </c>
      <c r="CA23" s="31">
        <f t="shared" si="23"/>
        <v>43.356941715952281</v>
      </c>
      <c r="CB23" s="31">
        <f t="shared" si="23"/>
        <v>44.224080550271324</v>
      </c>
      <c r="CC23" s="31">
        <f t="shared" si="23"/>
        <v>45.108562161276751</v>
      </c>
      <c r="CD23" s="31">
        <f t="shared" si="23"/>
        <v>46.01073340450229</v>
      </c>
      <c r="CE23" s="31">
        <f t="shared" si="23"/>
        <v>46.930948072592336</v>
      </c>
      <c r="CF23" s="31">
        <f t="shared" si="23"/>
        <v>47.869567034044181</v>
      </c>
      <c r="CG23" s="31">
        <f t="shared" ref="CG23:DL23" si="24">CF23*(1+$Z$2)</f>
        <v>48.826958374725066</v>
      </c>
      <c r="CH23" s="31">
        <f t="shared" si="24"/>
        <v>49.803497542219567</v>
      </c>
      <c r="CI23" s="31">
        <f t="shared" si="24"/>
        <v>50.799567493063961</v>
      </c>
      <c r="CJ23" s="31">
        <f t="shared" si="24"/>
        <v>51.815558842925242</v>
      </c>
      <c r="CK23" s="31">
        <f t="shared" si="24"/>
        <v>52.851870019783746</v>
      </c>
      <c r="CL23" s="31">
        <f t="shared" si="24"/>
        <v>53.908907420179425</v>
      </c>
      <c r="CM23" s="31">
        <f t="shared" si="24"/>
        <v>54.987085568583012</v>
      </c>
      <c r="CN23" s="31">
        <f t="shared" si="24"/>
        <v>56.086827279954676</v>
      </c>
      <c r="CO23" s="31">
        <f t="shared" si="24"/>
        <v>57.208563825553767</v>
      </c>
      <c r="CP23" s="31">
        <f t="shared" si="24"/>
        <v>58.352735102064841</v>
      </c>
      <c r="CQ23" s="31">
        <f t="shared" si="24"/>
        <v>59.519789804106139</v>
      </c>
      <c r="CR23" s="31">
        <f t="shared" si="24"/>
        <v>60.710185600188261</v>
      </c>
      <c r="CS23" s="31">
        <f t="shared" si="24"/>
        <v>61.924389312192027</v>
      </c>
      <c r="CT23" s="31">
        <f t="shared" si="24"/>
        <v>63.162877098435871</v>
      </c>
      <c r="CU23" s="31">
        <f t="shared" si="24"/>
        <v>64.426134640404584</v>
      </c>
      <c r="CV23" s="31">
        <f t="shared" si="24"/>
        <v>65.714657333212671</v>
      </c>
      <c r="CW23" s="31">
        <f t="shared" si="24"/>
        <v>67.028950479876926</v>
      </c>
      <c r="CX23" s="31">
        <f t="shared" si="24"/>
        <v>68.369529489474459</v>
      </c>
      <c r="CY23" s="31">
        <f t="shared" si="24"/>
        <v>69.736920079263953</v>
      </c>
      <c r="CZ23" s="31">
        <f t="shared" si="24"/>
        <v>71.131658480849239</v>
      </c>
      <c r="DA23" s="31">
        <f t="shared" si="24"/>
        <v>72.554291650466226</v>
      </c>
      <c r="DB23" s="31">
        <f t="shared" si="24"/>
        <v>74.005377483475556</v>
      </c>
      <c r="DC23" s="31">
        <f t="shared" si="24"/>
        <v>75.485485033145068</v>
      </c>
      <c r="DD23" s="31">
        <f t="shared" si="24"/>
        <v>76.995194733807963</v>
      </c>
      <c r="DE23" s="31">
        <f t="shared" si="24"/>
        <v>78.535098628484121</v>
      </c>
      <c r="DF23" s="31">
        <f t="shared" si="24"/>
        <v>80.105800601053801</v>
      </c>
      <c r="DG23" s="31">
        <f t="shared" si="24"/>
        <v>81.707916613074872</v>
      </c>
      <c r="DH23" s="31">
        <f t="shared" si="24"/>
        <v>83.342074945336364</v>
      </c>
      <c r="DI23" s="31">
        <f t="shared" si="24"/>
        <v>85.008916444243098</v>
      </c>
      <c r="DJ23" s="31">
        <f t="shared" si="24"/>
        <v>86.709094773127958</v>
      </c>
      <c r="DK23" s="31">
        <f t="shared" si="24"/>
        <v>88.443276668590514</v>
      </c>
      <c r="DL23" s="31">
        <f t="shared" si="24"/>
        <v>90.212142201962322</v>
      </c>
      <c r="DM23" s="31">
        <f t="shared" ref="DM23:ER23" si="25">DL23*(1+$Z$2)</f>
        <v>92.016385046001574</v>
      </c>
      <c r="DN23" s="31">
        <f t="shared" si="25"/>
        <v>93.856712746921602</v>
      </c>
      <c r="DO23" s="31">
        <f t="shared" si="25"/>
        <v>95.733847001860042</v>
      </c>
      <c r="DP23" s="31">
        <f t="shared" si="25"/>
        <v>97.648523941897238</v>
      </c>
      <c r="DQ23" s="31">
        <f t="shared" si="25"/>
        <v>99.601494420735179</v>
      </c>
      <c r="DR23" s="31">
        <f t="shared" si="25"/>
        <v>101.59352430914988</v>
      </c>
      <c r="DS23" s="31">
        <f t="shared" si="25"/>
        <v>103.62539479533288</v>
      </c>
      <c r="DT23" s="31">
        <f t="shared" si="25"/>
        <v>105.69790269123953</v>
      </c>
      <c r="DU23" s="31">
        <f t="shared" si="25"/>
        <v>107.81186074506432</v>
      </c>
      <c r="DV23" s="31">
        <f t="shared" si="25"/>
        <v>109.9680979599656</v>
      </c>
      <c r="DW23" s="31">
        <f t="shared" si="25"/>
        <v>112.16745991916491</v>
      </c>
      <c r="DX23" s="31">
        <f t="shared" si="25"/>
        <v>114.41080911754821</v>
      </c>
      <c r="DY23" s="31">
        <f t="shared" si="25"/>
        <v>116.69902529989918</v>
      </c>
      <c r="DZ23" s="31">
        <f t="shared" si="25"/>
        <v>119.03300580589716</v>
      </c>
      <c r="EA23" s="31">
        <f t="shared" si="25"/>
        <v>121.41366592201511</v>
      </c>
      <c r="EB23" s="31">
        <f t="shared" si="25"/>
        <v>123.84193924045542</v>
      </c>
      <c r="EC23" s="31">
        <f t="shared" si="25"/>
        <v>126.31877802526452</v>
      </c>
      <c r="ED23" s="31">
        <f t="shared" si="25"/>
        <v>128.84515358576982</v>
      </c>
      <c r="EE23" s="31">
        <f t="shared" si="25"/>
        <v>131.42205665748523</v>
      </c>
      <c r="EF23" s="31">
        <f t="shared" si="25"/>
        <v>134.05049779063495</v>
      </c>
      <c r="EG23" s="31">
        <f t="shared" si="25"/>
        <v>136.73150774644765</v>
      </c>
      <c r="EH23" s="31">
        <f t="shared" si="25"/>
        <v>139.46613790137661</v>
      </c>
      <c r="EI23" s="31">
        <f t="shared" si="25"/>
        <v>142.25546065940415</v>
      </c>
      <c r="EJ23" s="31">
        <f t="shared" si="25"/>
        <v>145.10056987259225</v>
      </c>
      <c r="EK23" s="31">
        <f t="shared" si="25"/>
        <v>148.00258127004409</v>
      </c>
      <c r="EL23" s="31">
        <f t="shared" si="25"/>
        <v>150.96263289544498</v>
      </c>
      <c r="EM23" s="31">
        <f t="shared" si="25"/>
        <v>153.98188555335389</v>
      </c>
      <c r="EN23" s="31">
        <f t="shared" si="25"/>
        <v>157.06152326442097</v>
      </c>
      <c r="EO23" s="31">
        <f t="shared" si="25"/>
        <v>160.2027537297094</v>
      </c>
      <c r="EP23" s="31">
        <f t="shared" si="25"/>
        <v>163.40680880430358</v>
      </c>
      <c r="EQ23" s="31">
        <f t="shared" si="25"/>
        <v>166.67494498038965</v>
      </c>
      <c r="ER23" s="31">
        <f t="shared" si="25"/>
        <v>170.00844387999746</v>
      </c>
      <c r="ES23" s="31">
        <f t="shared" ref="ES23:FD23" si="26">ER23*(1+$Z$2)</f>
        <v>173.40861275759741</v>
      </c>
      <c r="ET23" s="31">
        <f t="shared" si="26"/>
        <v>176.87678501274937</v>
      </c>
      <c r="EU23" s="31">
        <f t="shared" si="26"/>
        <v>180.41432071300434</v>
      </c>
      <c r="EV23" s="31">
        <f t="shared" si="26"/>
        <v>184.02260712726442</v>
      </c>
      <c r="EW23" s="31">
        <f t="shared" si="26"/>
        <v>187.7030592698097</v>
      </c>
      <c r="EX23" s="31">
        <f t="shared" si="26"/>
        <v>191.45712045520591</v>
      </c>
      <c r="EY23" s="31">
        <f t="shared" si="26"/>
        <v>195.28626286431003</v>
      </c>
      <c r="EZ23" s="31">
        <f t="shared" si="26"/>
        <v>199.19198812159624</v>
      </c>
      <c r="FA23" s="31">
        <f t="shared" si="26"/>
        <v>203.17582788402817</v>
      </c>
      <c r="FB23" s="31">
        <f t="shared" si="26"/>
        <v>207.23934444170874</v>
      </c>
      <c r="FC23" s="31">
        <f t="shared" si="26"/>
        <v>211.38413133054291</v>
      </c>
      <c r="FD23" s="31">
        <f t="shared" si="26"/>
        <v>215.61181395715377</v>
      </c>
    </row>
    <row r="24" spans="11:160" x14ac:dyDescent="0.45">
      <c r="K24" s="90"/>
      <c r="L24" s="86"/>
      <c r="M24" s="86"/>
      <c r="N24" s="86"/>
      <c r="O24" s="90"/>
      <c r="P24" s="138"/>
      <c r="Q24" s="86">
        <f>Q23/SUM(1+$V$15)^Q22</f>
        <v>5.8428658148072738</v>
      </c>
      <c r="R24" s="86">
        <f>R23/SUM(1+$V$15)^R22</f>
        <v>6.7989711299575548</v>
      </c>
      <c r="S24" s="86">
        <f>S23/SUM(1+$V$15)^S22</f>
        <v>7.9115300421324219</v>
      </c>
      <c r="T24" s="86">
        <f>T23/SUM(1+$V$15)^T22</f>
        <v>9.2061440490268183</v>
      </c>
      <c r="U24" s="69">
        <f>U23/SUM(1+$V$15)^U22</f>
        <v>8.5366063000066852</v>
      </c>
    </row>
    <row r="25" spans="11:160" ht="14.65" thickBot="1" x14ac:dyDescent="0.5">
      <c r="K25" s="90" t="s">
        <v>34</v>
      </c>
      <c r="L25" s="86"/>
      <c r="M25" s="86"/>
      <c r="N25" s="93">
        <f t="shared" ref="N25:T25" si="27">N13+N19+N20+N21</f>
        <v>3.5251079999999999</v>
      </c>
      <c r="O25" s="139">
        <f t="shared" si="27"/>
        <v>3.7510012800000001</v>
      </c>
      <c r="P25" s="140">
        <f t="shared" si="27"/>
        <v>4.388671497599999</v>
      </c>
      <c r="Q25" s="93">
        <f t="shared" si="27"/>
        <v>5.6174995169280004</v>
      </c>
      <c r="R25" s="93">
        <f t="shared" si="27"/>
        <v>7.1903993816678398</v>
      </c>
      <c r="S25" s="93">
        <f t="shared" si="27"/>
        <v>9.203711208534834</v>
      </c>
      <c r="T25" s="93">
        <f t="shared" si="27"/>
        <v>11.780750346924588</v>
      </c>
      <c r="U25" s="73">
        <f>T25+(1+Z2)</f>
        <v>12.800750346924588</v>
      </c>
    </row>
    <row r="26" spans="11:160" ht="14.65" thickBot="1" x14ac:dyDescent="0.5">
      <c r="K26" s="94"/>
      <c r="L26" s="95"/>
      <c r="M26" s="95"/>
      <c r="N26" s="95"/>
      <c r="O26" s="94"/>
      <c r="P26" s="96"/>
      <c r="Q26" s="95">
        <f>Q25/SUM(1+$V$15)^Q22</f>
        <v>5.1068177426618178</v>
      </c>
      <c r="R26" s="95">
        <f>R25/SUM(1+$V$15)^R22</f>
        <v>5.9424788278246599</v>
      </c>
      <c r="S26" s="95">
        <f>S25/SUM(1+$V$15)^S22</f>
        <v>6.914884454195966</v>
      </c>
      <c r="T26" s="95">
        <f>T25/SUM(1+$V$15)^T22</f>
        <v>8.0464110012462164</v>
      </c>
      <c r="U26" s="142">
        <f>U25/SUM(1+$V$15)^U22</f>
        <v>7.9482588415623514</v>
      </c>
    </row>
    <row r="27" spans="11:160" x14ac:dyDescent="0.45">
      <c r="K27" s="2" t="s">
        <v>48</v>
      </c>
      <c r="U27" s="2" t="s">
        <v>47</v>
      </c>
    </row>
    <row r="28" spans="11:160" x14ac:dyDescent="0.45">
      <c r="K28" s="52" t="s">
        <v>46</v>
      </c>
      <c r="L28" s="51"/>
      <c r="M28" s="50" t="s">
        <v>45</v>
      </c>
      <c r="N28" s="49">
        <f>P14</f>
        <v>194.29238689014389</v>
      </c>
      <c r="Q28" s="2" t="s">
        <v>44</v>
      </c>
      <c r="R28">
        <f>SUM(Q24:U24)</f>
        <v>38.296117335930759</v>
      </c>
      <c r="U28" s="27">
        <f>U23/SUM(V15-Z2)</f>
        <v>171.85362265279716</v>
      </c>
      <c r="W28" s="2" t="s">
        <v>43</v>
      </c>
    </row>
    <row r="29" spans="11:160" x14ac:dyDescent="0.45">
      <c r="K29" s="16"/>
      <c r="L29" s="15"/>
      <c r="M29" s="46" t="s">
        <v>42</v>
      </c>
      <c r="N29" s="48">
        <f>NPV(V15,P23:FD23)</f>
        <v>138.32368180757754</v>
      </c>
      <c r="Q29" s="2" t="s">
        <v>41</v>
      </c>
      <c r="R29">
        <f>SUM(Q26:U26)</f>
        <v>33.958850867491009</v>
      </c>
      <c r="U29" s="27">
        <f>U28/SUM(1-V15)^U22</f>
        <v>291.0356189821963</v>
      </c>
      <c r="V29" s="2" t="s">
        <v>40</v>
      </c>
      <c r="W29" s="47">
        <f>U29+R28</f>
        <v>329.33173631812707</v>
      </c>
    </row>
    <row r="30" spans="11:160" x14ac:dyDescent="0.45">
      <c r="K30" s="16"/>
      <c r="L30" s="15"/>
      <c r="M30" s="46" t="s">
        <v>39</v>
      </c>
      <c r="N30" s="48">
        <f>W29</f>
        <v>329.33173631812707</v>
      </c>
      <c r="U30" s="27"/>
      <c r="V30" s="2" t="s">
        <v>34</v>
      </c>
      <c r="W30" s="47">
        <f>U32+R29</f>
        <v>304.93613979119391</v>
      </c>
    </row>
    <row r="31" spans="11:160" x14ac:dyDescent="0.45">
      <c r="K31" s="16"/>
      <c r="L31" s="15"/>
      <c r="M31" s="46" t="s">
        <v>38</v>
      </c>
      <c r="N31" s="45">
        <f>U14</f>
        <v>488.72352330547193</v>
      </c>
      <c r="U31" s="27">
        <f>U25/SUM(V15-Z2)</f>
        <v>160.00937933655734</v>
      </c>
    </row>
    <row r="32" spans="11:160" x14ac:dyDescent="0.45">
      <c r="K32" s="16"/>
      <c r="L32" s="15"/>
      <c r="M32" s="46" t="s">
        <v>37</v>
      </c>
      <c r="N32" s="45">
        <f>AVERAGE(Q41:U45)</f>
        <v>382.63990523437343</v>
      </c>
      <c r="U32" s="27">
        <f>U31/SUM(1-V15)^U22</f>
        <v>270.97728892370287</v>
      </c>
    </row>
    <row r="33" spans="11:29" x14ac:dyDescent="0.45">
      <c r="K33" s="16"/>
      <c r="L33" s="15"/>
      <c r="M33" s="46" t="s">
        <v>36</v>
      </c>
      <c r="N33" s="45">
        <f>AVERAGE(Y41:AC45)</f>
        <v>523.48073038571954</v>
      </c>
    </row>
    <row r="34" spans="11:29" x14ac:dyDescent="0.45">
      <c r="K34" s="16"/>
      <c r="L34" s="15"/>
      <c r="M34" s="46" t="s">
        <v>35</v>
      </c>
      <c r="N34" s="45">
        <f>AVERAGE(V51:Z55)</f>
        <v>209.15228945422587</v>
      </c>
    </row>
    <row r="35" spans="11:29" x14ac:dyDescent="0.45">
      <c r="K35" s="13"/>
      <c r="L35" s="12"/>
      <c r="M35" s="7" t="s">
        <v>34</v>
      </c>
      <c r="N35" s="44">
        <f>W30</f>
        <v>304.93613979119391</v>
      </c>
    </row>
    <row r="37" spans="11:29" ht="21" x14ac:dyDescent="0.65">
      <c r="K37" s="43" t="s">
        <v>33</v>
      </c>
      <c r="L37" s="43"/>
      <c r="M37" s="42">
        <f>AVERAGE(N28:N35)</f>
        <v>321.36004914835411</v>
      </c>
      <c r="N37" s="2" t="s">
        <v>27</v>
      </c>
      <c r="R37" s="2"/>
      <c r="V37" s="41" t="s">
        <v>32</v>
      </c>
    </row>
    <row r="38" spans="11:29" ht="21" x14ac:dyDescent="0.65">
      <c r="K38" s="40" t="s">
        <v>31</v>
      </c>
      <c r="L38" s="39"/>
      <c r="M38" s="38">
        <f>AVERAGE(N35,N30,N34)</f>
        <v>281.14005518784893</v>
      </c>
      <c r="N38" s="37" t="s">
        <v>27</v>
      </c>
      <c r="Q38" s="2" t="s">
        <v>30</v>
      </c>
      <c r="Z38" s="2" t="s">
        <v>29</v>
      </c>
    </row>
    <row r="39" spans="11:29" ht="21" x14ac:dyDescent="0.65">
      <c r="K39" s="36" t="s">
        <v>28</v>
      </c>
      <c r="L39" s="35"/>
      <c r="M39" s="34">
        <f>MEDIAN(M37:M38)</f>
        <v>301.25005216810155</v>
      </c>
      <c r="N39" s="33" t="s">
        <v>27</v>
      </c>
      <c r="Z39" s="2"/>
    </row>
    <row r="40" spans="11:29" x14ac:dyDescent="0.45">
      <c r="K40" s="32"/>
      <c r="O40" s="2" t="s">
        <v>26</v>
      </c>
      <c r="P40" s="31">
        <f>N30</f>
        <v>329.33173631812707</v>
      </c>
      <c r="Q40" s="29">
        <f>R40-1%</f>
        <v>0.15</v>
      </c>
      <c r="R40" s="29">
        <f>S40-1%</f>
        <v>0.16</v>
      </c>
      <c r="S40" s="26">
        <f>M3</f>
        <v>0.17</v>
      </c>
      <c r="T40" s="26">
        <f>S40+1%</f>
        <v>0.18000000000000002</v>
      </c>
      <c r="U40" s="26">
        <f>T40+1%</f>
        <v>0.19000000000000003</v>
      </c>
      <c r="W40" s="2" t="s">
        <v>25</v>
      </c>
      <c r="X40" s="30">
        <f>N30</f>
        <v>329.33173631812707</v>
      </c>
      <c r="Y40" s="29">
        <f>Q40</f>
        <v>0.15</v>
      </c>
      <c r="Z40" s="29">
        <f>R40</f>
        <v>0.16</v>
      </c>
      <c r="AA40" s="29">
        <f>S40</f>
        <v>0.17</v>
      </c>
      <c r="AB40" s="29">
        <f>T40</f>
        <v>0.18000000000000002</v>
      </c>
      <c r="AC40" s="29">
        <f>U40</f>
        <v>0.19000000000000003</v>
      </c>
    </row>
    <row r="41" spans="11:29" x14ac:dyDescent="0.45">
      <c r="P41" s="29">
        <f>P42-1%</f>
        <v>8.0000000000000016E-2</v>
      </c>
      <c r="Q41" s="25">
        <f t="dataTable" ref="Q41:U45" dt2D="1" dtr="1" r1="M3" r2="V15" ca="1"/>
        <v>375.12897531830146</v>
      </c>
      <c r="R41" s="24">
        <v>368.63335827876352</v>
      </c>
      <c r="S41" s="24">
        <v>368.63335827876352</v>
      </c>
      <c r="T41" s="24">
        <v>375.12897531830146</v>
      </c>
      <c r="U41" s="23">
        <v>388.29040023684155</v>
      </c>
      <c r="X41" s="19">
        <f>X42-5%</f>
        <v>0.30000000000000004</v>
      </c>
      <c r="Y41" s="25">
        <f t="dataTable" ref="Y41:AC45" dt2D="1" dtr="1" r1="M3" r2="W2" ca="1"/>
        <v>680.40018415689008</v>
      </c>
      <c r="Z41" s="24">
        <v>668.61858550494856</v>
      </c>
      <c r="AA41" s="24">
        <v>668.61858550494856</v>
      </c>
      <c r="AB41" s="24">
        <v>680.40018415689008</v>
      </c>
      <c r="AC41" s="23">
        <v>704.27206963506001</v>
      </c>
    </row>
    <row r="42" spans="11:29" x14ac:dyDescent="0.45">
      <c r="P42" s="29">
        <f>P43-1%</f>
        <v>9.0000000000000011E-2</v>
      </c>
      <c r="Q42" s="16">
        <v>422.29961433240788</v>
      </c>
      <c r="R42" s="21">
        <v>414.98720513149141</v>
      </c>
      <c r="S42" s="21">
        <v>414.98720513149141</v>
      </c>
      <c r="T42" s="21">
        <v>422.29961433240788</v>
      </c>
      <c r="U42" s="20">
        <v>437.11602424168859</v>
      </c>
      <c r="X42" s="19">
        <f>X43-5%</f>
        <v>0.35000000000000003</v>
      </c>
      <c r="Y42" s="16">
        <v>620.02828082676547</v>
      </c>
      <c r="Z42" s="21">
        <v>609.2920633364572</v>
      </c>
      <c r="AA42" s="21">
        <v>609.2920633364572</v>
      </c>
      <c r="AB42" s="21">
        <v>620.02828082676547</v>
      </c>
      <c r="AC42" s="20">
        <v>641.78201408223777</v>
      </c>
    </row>
    <row r="43" spans="11:29" x14ac:dyDescent="0.45">
      <c r="P43" s="19">
        <f>V15</f>
        <v>0.1</v>
      </c>
      <c r="Q43" s="16">
        <v>422.29961433240788</v>
      </c>
      <c r="R43" s="21">
        <v>414.98720513149141</v>
      </c>
      <c r="S43" s="28">
        <v>414.98720513149141</v>
      </c>
      <c r="T43" s="21">
        <v>422.29961433240788</v>
      </c>
      <c r="U43" s="20">
        <v>437.11602424168859</v>
      </c>
      <c r="X43" s="26">
        <v>0.4</v>
      </c>
      <c r="Y43" s="16">
        <v>559.65637749664131</v>
      </c>
      <c r="Z43" s="21">
        <v>549.96554116796597</v>
      </c>
      <c r="AA43" s="28">
        <v>549.96554116796597</v>
      </c>
      <c r="AB43" s="21">
        <v>559.65637749664131</v>
      </c>
      <c r="AC43" s="20">
        <v>579.29195852941552</v>
      </c>
    </row>
    <row r="44" spans="11:29" x14ac:dyDescent="0.45">
      <c r="P44" s="19">
        <f>P43+1%</f>
        <v>0.11</v>
      </c>
      <c r="Q44" s="16">
        <v>375.12897531830146</v>
      </c>
      <c r="R44" s="21">
        <v>368.63335827876352</v>
      </c>
      <c r="S44" s="21">
        <v>368.63335827876352</v>
      </c>
      <c r="T44" s="21">
        <v>375.12897531830146</v>
      </c>
      <c r="U44" s="20">
        <v>388.29040023684155</v>
      </c>
      <c r="X44" s="19">
        <f>X43+10%</f>
        <v>0.5</v>
      </c>
      <c r="Y44" s="16">
        <v>438.91257083639243</v>
      </c>
      <c r="Z44" s="21">
        <v>431.31249683098349</v>
      </c>
      <c r="AA44" s="21">
        <v>431.31249683098349</v>
      </c>
      <c r="AB44" s="21">
        <v>438.91257083639243</v>
      </c>
      <c r="AC44" s="20">
        <v>454.31184742377138</v>
      </c>
    </row>
    <row r="45" spans="11:29" x14ac:dyDescent="0.45">
      <c r="P45" s="19">
        <f>P44+1%</f>
        <v>0.12</v>
      </c>
      <c r="Q45" s="13">
        <v>318.16876417614361</v>
      </c>
      <c r="R45" s="12">
        <v>312.65945249400102</v>
      </c>
      <c r="S45" s="12">
        <v>312.65945249400102</v>
      </c>
      <c r="T45" s="12">
        <v>318.16876417614361</v>
      </c>
      <c r="U45" s="18">
        <v>329.33173631812707</v>
      </c>
      <c r="X45" s="19">
        <f>X44+10%</f>
        <v>0.6</v>
      </c>
      <c r="Y45" s="13">
        <v>318.16876417614361</v>
      </c>
      <c r="Z45" s="12">
        <v>312.65945249400102</v>
      </c>
      <c r="AA45" s="12">
        <v>312.65945249400102</v>
      </c>
      <c r="AB45" s="12">
        <v>318.16876417614361</v>
      </c>
      <c r="AC45" s="18">
        <v>329.33173631812707</v>
      </c>
    </row>
    <row r="49" spans="11:35" x14ac:dyDescent="0.45">
      <c r="V49" s="2" t="s">
        <v>24</v>
      </c>
    </row>
    <row r="50" spans="11:35" x14ac:dyDescent="0.45">
      <c r="T50" s="2" t="s">
        <v>23</v>
      </c>
      <c r="U50" s="27">
        <f>W29</f>
        <v>329.33173631812707</v>
      </c>
      <c r="V50" s="26">
        <f>Y40</f>
        <v>0.15</v>
      </c>
      <c r="W50" s="26">
        <f>Z40</f>
        <v>0.16</v>
      </c>
      <c r="X50" s="26">
        <f>AA40</f>
        <v>0.17</v>
      </c>
      <c r="Y50" s="26">
        <f>AB40</f>
        <v>0.18000000000000002</v>
      </c>
      <c r="Z50" s="26">
        <f>AC40</f>
        <v>0.19000000000000003</v>
      </c>
    </row>
    <row r="51" spans="11:35" x14ac:dyDescent="0.45">
      <c r="U51" s="19">
        <f>U52-0.5%</f>
        <v>9.9999999999999985E-3</v>
      </c>
      <c r="V51" s="25">
        <f t="dataTable" ref="V51:Z55" dt2D="1" dtr="1" r1="O3" r2="Z2" ca="1"/>
        <v>194.88471905219342</v>
      </c>
      <c r="W51" s="24">
        <v>201.46417233121946</v>
      </c>
      <c r="X51" s="24">
        <v>208.21179491458867</v>
      </c>
      <c r="Y51" s="24">
        <v>215.13046153405395</v>
      </c>
      <c r="Z51" s="23">
        <v>222.22307140288478</v>
      </c>
    </row>
    <row r="52" spans="11:35" x14ac:dyDescent="0.45">
      <c r="U52" s="19">
        <f>U53-0.5%</f>
        <v>1.4999999999999999E-2</v>
      </c>
      <c r="V52" s="16">
        <v>185.29027239762362</v>
      </c>
      <c r="W52" s="21">
        <v>191.53162763609072</v>
      </c>
      <c r="X52" s="21">
        <v>197.93229427070833</v>
      </c>
      <c r="Y52" s="21">
        <v>204.49499365428713</v>
      </c>
      <c r="Z52" s="20">
        <v>211.22247030459695</v>
      </c>
    </row>
    <row r="53" spans="11:35" x14ac:dyDescent="0.45">
      <c r="U53" s="19">
        <f>Z2</f>
        <v>0.02</v>
      </c>
      <c r="V53" s="16">
        <v>185.29027239762362</v>
      </c>
      <c r="W53" s="21">
        <v>191.53162763609072</v>
      </c>
      <c r="X53" s="22">
        <v>197.93229427070833</v>
      </c>
      <c r="Y53" s="21">
        <v>204.49499365428713</v>
      </c>
      <c r="Z53" s="20">
        <v>211.22247030459695</v>
      </c>
    </row>
    <row r="54" spans="11:35" x14ac:dyDescent="0.45">
      <c r="U54" s="19">
        <f>U53+0.5%</f>
        <v>2.5000000000000001E-2</v>
      </c>
      <c r="V54" s="16">
        <v>194.88471905219342</v>
      </c>
      <c r="W54" s="21">
        <v>201.46417233121946</v>
      </c>
      <c r="X54" s="21">
        <v>208.21179491458867</v>
      </c>
      <c r="Y54" s="21">
        <v>215.13046153405395</v>
      </c>
      <c r="Z54" s="20">
        <v>222.22307140288478</v>
      </c>
    </row>
    <row r="55" spans="11:35" x14ac:dyDescent="0.45">
      <c r="U55" s="19">
        <f>U54+0.5%</f>
        <v>3.0000000000000002E-2</v>
      </c>
      <c r="V55" s="13">
        <v>217.66130545670012</v>
      </c>
      <c r="W55" s="12">
        <v>225.04338128512723</v>
      </c>
      <c r="X55" s="12">
        <v>232.61465451035332</v>
      </c>
      <c r="Y55" s="12">
        <v>240.37836397566949</v>
      </c>
      <c r="Z55" s="18">
        <v>248.33777613130422</v>
      </c>
    </row>
    <row r="61" spans="11:35" x14ac:dyDescent="0.45">
      <c r="K61" s="2" t="s">
        <v>22</v>
      </c>
    </row>
    <row r="63" spans="11:35" x14ac:dyDescent="0.45">
      <c r="P63" s="59" t="s">
        <v>21</v>
      </c>
      <c r="Q63" s="59"/>
      <c r="R63" s="59"/>
      <c r="S63" s="59"/>
      <c r="T63" s="59" t="s">
        <v>20</v>
      </c>
      <c r="U63" s="59"/>
      <c r="V63" s="59"/>
      <c r="W63" s="59"/>
      <c r="X63" s="59" t="s">
        <v>19</v>
      </c>
      <c r="Y63" s="59"/>
      <c r="Z63" s="59"/>
      <c r="AA63" s="59"/>
      <c r="AB63" s="59" t="s">
        <v>18</v>
      </c>
      <c r="AC63" s="59"/>
      <c r="AD63" s="59"/>
      <c r="AE63" s="59"/>
      <c r="AF63" s="59" t="s">
        <v>3</v>
      </c>
      <c r="AG63" s="59"/>
      <c r="AH63" s="59"/>
      <c r="AI63" s="59"/>
    </row>
    <row r="64" spans="11:35" x14ac:dyDescent="0.45">
      <c r="O64" t="s">
        <v>17</v>
      </c>
      <c r="P64" s="17" t="s">
        <v>16</v>
      </c>
      <c r="Q64" s="15" t="s">
        <v>15</v>
      </c>
      <c r="R64" s="15" t="s">
        <v>14</v>
      </c>
      <c r="S64" s="15" t="s">
        <v>13</v>
      </c>
      <c r="T64" s="16" t="s">
        <v>16</v>
      </c>
      <c r="U64" s="15" t="s">
        <v>15</v>
      </c>
      <c r="V64" s="15" t="s">
        <v>14</v>
      </c>
      <c r="W64" s="15" t="s">
        <v>13</v>
      </c>
      <c r="X64" s="16" t="s">
        <v>16</v>
      </c>
      <c r="Y64" s="15" t="s">
        <v>15</v>
      </c>
      <c r="Z64" s="15" t="s">
        <v>14</v>
      </c>
      <c r="AA64" s="15" t="s">
        <v>13</v>
      </c>
      <c r="AB64" s="16" t="s">
        <v>16</v>
      </c>
      <c r="AC64" s="15" t="s">
        <v>15</v>
      </c>
      <c r="AD64" s="15" t="s">
        <v>14</v>
      </c>
      <c r="AE64" s="15" t="s">
        <v>13</v>
      </c>
      <c r="AF64" s="16" t="s">
        <v>16</v>
      </c>
      <c r="AG64" s="15" t="s">
        <v>15</v>
      </c>
      <c r="AH64" s="15" t="s">
        <v>14</v>
      </c>
      <c r="AI64" s="15" t="s">
        <v>13</v>
      </c>
    </row>
    <row r="65" spans="10:35" x14ac:dyDescent="0.45">
      <c r="K65">
        <v>0</v>
      </c>
      <c r="L65">
        <v>1</v>
      </c>
      <c r="M65">
        <v>2</v>
      </c>
      <c r="N65" s="2" t="s">
        <v>15</v>
      </c>
      <c r="O65" s="12" t="s">
        <v>1</v>
      </c>
      <c r="P65" s="14" t="s">
        <v>16</v>
      </c>
      <c r="Q65" s="12" t="s">
        <v>15</v>
      </c>
      <c r="R65" s="12" t="s">
        <v>14</v>
      </c>
      <c r="S65" s="12" t="s">
        <v>13</v>
      </c>
      <c r="T65" s="13" t="s">
        <v>16</v>
      </c>
      <c r="U65" s="12" t="s">
        <v>15</v>
      </c>
      <c r="V65" s="12" t="s">
        <v>14</v>
      </c>
      <c r="W65" s="12" t="s">
        <v>13</v>
      </c>
      <c r="X65" s="13" t="s">
        <v>16</v>
      </c>
      <c r="Y65" s="12" t="s">
        <v>15</v>
      </c>
      <c r="Z65" s="12" t="s">
        <v>14</v>
      </c>
      <c r="AA65" s="12" t="s">
        <v>13</v>
      </c>
      <c r="AB65" s="13" t="s">
        <v>16</v>
      </c>
      <c r="AC65" s="12" t="s">
        <v>15</v>
      </c>
      <c r="AD65" s="12" t="s">
        <v>14</v>
      </c>
      <c r="AE65" s="12" t="s">
        <v>13</v>
      </c>
      <c r="AF65" s="13" t="s">
        <v>16</v>
      </c>
      <c r="AG65" s="12" t="s">
        <v>15</v>
      </c>
      <c r="AH65" s="12" t="s">
        <v>14</v>
      </c>
      <c r="AI65" s="12" t="s">
        <v>13</v>
      </c>
    </row>
    <row r="66" spans="10:35" x14ac:dyDescent="0.45">
      <c r="K66" s="6" t="s">
        <v>10</v>
      </c>
      <c r="L66" s="6" t="s">
        <v>9</v>
      </c>
      <c r="M66" s="6" t="s">
        <v>8</v>
      </c>
      <c r="O66" s="2" t="s">
        <v>12</v>
      </c>
      <c r="P66">
        <f>SLOPE($K67:$M67,$K$65:$M$65)*($M$65+1)+ INTERCEPT($K67:$M67,$K65:$M65)</f>
        <v>29.422133333333328</v>
      </c>
      <c r="Q66">
        <f>$M67*(1+N67)</f>
        <v>30.430646999999983</v>
      </c>
      <c r="R66" s="1">
        <f>AVERAGE(K67:M67)</f>
        <v>22.413033333333331</v>
      </c>
      <c r="S66" s="1">
        <f>M67</f>
        <v>26.009099999999993</v>
      </c>
    </row>
    <row r="67" spans="10:35" x14ac:dyDescent="0.45">
      <c r="J67" s="2" t="s">
        <v>2</v>
      </c>
      <c r="K67" s="1">
        <v>19</v>
      </c>
      <c r="L67" s="1">
        <v>22.229999999999997</v>
      </c>
      <c r="M67" s="1">
        <v>26.009099999999993</v>
      </c>
      <c r="N67" s="11">
        <f>(M67/K67)^(1/(M65-K65))-1</f>
        <v>0.16999999999999971</v>
      </c>
      <c r="O67" s="2" t="s">
        <v>1</v>
      </c>
      <c r="P67">
        <f>SLOPE($K68:$M68,$K$65:$M$65)*(M65+1)+ INTERCEPT($K68:$M68,$K65:$M65)</f>
        <v>-17.653279999999995</v>
      </c>
      <c r="Q67">
        <f>$M68*(1+N68)</f>
        <v>-18.258388199999992</v>
      </c>
      <c r="R67" s="1">
        <f>AVERAGE(K68:M68)</f>
        <v>-13.447819999999998</v>
      </c>
      <c r="S67" s="1">
        <f>M68</f>
        <v>-15.605459999999995</v>
      </c>
    </row>
    <row r="68" spans="10:35" x14ac:dyDescent="0.45">
      <c r="J68" s="2" t="s">
        <v>1</v>
      </c>
      <c r="K68" s="1">
        <v>-11.4</v>
      </c>
      <c r="L68" s="1">
        <v>-13.337999999999997</v>
      </c>
      <c r="M68" s="1">
        <v>-15.605459999999995</v>
      </c>
      <c r="N68" s="11">
        <f>(M68/K68)^(1/(M65-K65))-1</f>
        <v>0.16999999999999971</v>
      </c>
    </row>
    <row r="69" spans="10:35" x14ac:dyDescent="0.45">
      <c r="J69" s="10" t="s">
        <v>11</v>
      </c>
      <c r="K69" s="9">
        <v>7.6</v>
      </c>
      <c r="L69" s="9">
        <v>8.8919999999999995</v>
      </c>
      <c r="M69" s="9">
        <v>10.403639999999998</v>
      </c>
    </row>
    <row r="78" spans="10:35" x14ac:dyDescent="0.45">
      <c r="P78" s="7">
        <v>0</v>
      </c>
      <c r="Q78" s="7">
        <v>1</v>
      </c>
      <c r="R78" s="7">
        <v>2</v>
      </c>
      <c r="S78" s="8">
        <v>3</v>
      </c>
      <c r="T78" s="7">
        <v>5</v>
      </c>
      <c r="U78" s="7">
        <v>6</v>
      </c>
      <c r="V78" s="7">
        <v>7</v>
      </c>
      <c r="W78" s="7">
        <v>8</v>
      </c>
      <c r="Z78" s="7">
        <v>0</v>
      </c>
      <c r="AA78" s="7">
        <v>1</v>
      </c>
      <c r="AB78" s="7">
        <v>2</v>
      </c>
      <c r="AC78" s="8">
        <v>3</v>
      </c>
      <c r="AD78" s="7">
        <v>5</v>
      </c>
      <c r="AE78" s="7">
        <v>6</v>
      </c>
      <c r="AF78" s="7">
        <v>7</v>
      </c>
      <c r="AG78" s="7">
        <v>8</v>
      </c>
    </row>
    <row r="79" spans="10:35" x14ac:dyDescent="0.45">
      <c r="P79" s="6" t="s">
        <v>10</v>
      </c>
      <c r="Q79" s="6" t="s">
        <v>9</v>
      </c>
      <c r="R79" s="6" t="s">
        <v>8</v>
      </c>
      <c r="S79" s="5" t="s">
        <v>7</v>
      </c>
      <c r="T79" s="4" t="s">
        <v>6</v>
      </c>
      <c r="U79" s="4" t="s">
        <v>5</v>
      </c>
      <c r="V79" s="4" t="s">
        <v>4</v>
      </c>
      <c r="W79" s="4" t="s">
        <v>3</v>
      </c>
      <c r="X79" s="6"/>
      <c r="Z79" s="6" t="s">
        <v>10</v>
      </c>
      <c r="AA79" s="6" t="s">
        <v>9</v>
      </c>
      <c r="AB79" s="6" t="s">
        <v>8</v>
      </c>
      <c r="AC79" s="5" t="s">
        <v>7</v>
      </c>
      <c r="AD79" s="4" t="s">
        <v>6</v>
      </c>
      <c r="AE79" s="4" t="s">
        <v>5</v>
      </c>
      <c r="AF79" s="4" t="s">
        <v>4</v>
      </c>
      <c r="AG79" s="4" t="s">
        <v>3</v>
      </c>
    </row>
    <row r="80" spans="10:35" x14ac:dyDescent="0.45">
      <c r="O80" s="2" t="s">
        <v>2</v>
      </c>
      <c r="P80" s="1">
        <v>19</v>
      </c>
      <c r="Q80" s="1">
        <v>22.229999999999997</v>
      </c>
      <c r="R80" s="1">
        <v>26.009099999999993</v>
      </c>
      <c r="S80" s="3">
        <f>SLOPE(P80:R80,P78:R78)*(R78+1)+INTERCEPT(P80:R80,P78:R78)</f>
        <v>29.422133333333328</v>
      </c>
      <c r="T80" s="3">
        <f>SLOPE(Q80:S80,Q78:S78)*(S78+1)+INTERCEPT(Q80:S80,Q78:S78)</f>
        <v>33.079211111111107</v>
      </c>
      <c r="U80" s="3">
        <f>SLOPE(R80:T80,R78:T78)*(T78+1)+INTERCEPT(R80:T80,R78:T78)</f>
        <v>35.586819047619045</v>
      </c>
      <c r="V80" s="3">
        <f>SLOPE(S80:U80,S78:U78)*(U78+1)+INTERCEPT(S80:U80,S78:U78)</f>
        <v>37.415357936507931</v>
      </c>
      <c r="W80" s="3">
        <f>SLOPE(T80:V80,T78:V78)*(V78+1)+INTERCEPT(T80:V80,T78:V78)</f>
        <v>39.696609523809521</v>
      </c>
      <c r="Y80" s="2" t="s">
        <v>2</v>
      </c>
      <c r="Z80" s="1">
        <v>19</v>
      </c>
      <c r="AA80" s="1">
        <v>22.229999999999997</v>
      </c>
      <c r="AB80" s="1">
        <v>26.009099999999993</v>
      </c>
      <c r="AC80" s="3">
        <f>SLOPE(Z80:AB80,Z78:AB78)*(AB78+1)+INTERCEPT(Z80:AB80,Z78:AB78)</f>
        <v>29.422133333333328</v>
      </c>
      <c r="AD80" s="3">
        <f>SLOPE(Z80:AC80,Z78:AC78)*(AC78+1)+INTERCEPT(Z80:AC80,Z78:AC78)</f>
        <v>32.926683333333322</v>
      </c>
      <c r="AE80" s="3">
        <f>SLOPE(Z80:AD80,Z78:AD78)*(AD78+1)+INTERCEPT(Z80:AD80,Z78:AD78)</f>
        <v>36.715386036036023</v>
      </c>
      <c r="AF80" s="3">
        <f>SLOPE(Z80:AE80,Z78:AE78)*(AE78+1)+INTERCEPT(Z80:AE80,Z78:AE78)</f>
        <v>39.55691306306305</v>
      </c>
      <c r="AG80" s="3">
        <f>SLOPE(Z80:AF80,Z78:AF78)*(AF78+1)+INTERCEPT(Z80:AF80,Z78:AF78)</f>
        <v>42.398440090090077</v>
      </c>
    </row>
    <row r="81" spans="15:33" x14ac:dyDescent="0.45">
      <c r="O81" s="2" t="s">
        <v>1</v>
      </c>
      <c r="P81" s="1">
        <v>-11.4</v>
      </c>
      <c r="Q81" s="1">
        <v>-13.337999999999997</v>
      </c>
      <c r="R81" s="1">
        <v>-15.605459999999995</v>
      </c>
      <c r="S81" s="3">
        <f>SLOPE(P81:R81,P78:R78)*(R78+1)+INTERCEPT(P81:R81,P78:R78)</f>
        <v>-17.653279999999995</v>
      </c>
      <c r="T81" s="3">
        <f>SLOPE(Q81:S81,Q78:S78)*(S78+1)+INTERCEPT(Q81:S81,Q78:S78)</f>
        <v>-19.84752666666666</v>
      </c>
      <c r="U81" s="3">
        <f>SLOPE(R81:T81,R78:T78)*(T78+1)+INTERCEPT(R81:T81,R78:T78)</f>
        <v>-21.352091428571423</v>
      </c>
      <c r="V81" s="3">
        <f>SLOPE(S81:U81,S78:U78)*(U78+1)+INTERCEPT(S81:U81,S78:U78)</f>
        <v>-22.449214761904756</v>
      </c>
      <c r="W81" s="3">
        <f>SLOPE(T81:V81,T78:V78)*(V78+1)+INTERCEPT(T81:V81,T78:V78)</f>
        <v>-23.817965714285709</v>
      </c>
      <c r="Y81" s="2" t="s">
        <v>1</v>
      </c>
      <c r="Z81" s="1">
        <v>-11.4</v>
      </c>
      <c r="AA81" s="1">
        <v>-13.337999999999997</v>
      </c>
      <c r="AB81" s="1">
        <v>-15.605459999999995</v>
      </c>
      <c r="AC81" s="3">
        <f>SLOPE(Z81:AB81,Z78:AB78)*(AB78+1)+INTERCEPT(Z81:AB81,Z78:AB78)</f>
        <v>-17.653279999999995</v>
      </c>
      <c r="AD81" s="3">
        <f>SLOPE(AA81:AC81,AA78:AC78)*(AC78+1)+INTERCEPT(AA81:AC81,AA78:AC78)</f>
        <v>-19.84752666666666</v>
      </c>
      <c r="AE81" s="3">
        <f>SLOPE(AB81:AD81,AB78:AD78)*(AD78+1)+INTERCEPT(AB81:AD81,AB78:AD78)</f>
        <v>-21.352091428571423</v>
      </c>
      <c r="AF81" s="3">
        <f>SLOPE(AC81:AE81,AC78:AE78)*(AE78+1)+INTERCEPT(AC81:AE81,AC78:AE78)</f>
        <v>-22.449214761904756</v>
      </c>
      <c r="AG81" s="3">
        <f>SLOPE(AD81:AF81,AD78:AF78)*(AF78+1)+INTERCEPT(AD81:AF81,AD78:AF78)</f>
        <v>-23.817965714285709</v>
      </c>
    </row>
    <row r="82" spans="15:33" x14ac:dyDescent="0.45">
      <c r="O82" s="2" t="s">
        <v>0</v>
      </c>
      <c r="P82" s="1">
        <f>SUM(P80:P81)</f>
        <v>7.6</v>
      </c>
      <c r="Q82" s="1">
        <f t="shared" ref="P82:W82" si="28">SUM(Q80:Q81)</f>
        <v>8.8919999999999995</v>
      </c>
      <c r="R82" s="1">
        <f t="shared" si="28"/>
        <v>10.403639999999998</v>
      </c>
      <c r="S82" s="1">
        <f t="shared" si="28"/>
        <v>11.768853333333333</v>
      </c>
      <c r="T82" s="1">
        <f t="shared" si="28"/>
        <v>13.231684444444447</v>
      </c>
      <c r="U82" s="1">
        <f t="shared" si="28"/>
        <v>14.234727619047622</v>
      </c>
      <c r="V82" s="1">
        <f t="shared" si="28"/>
        <v>14.966143174603175</v>
      </c>
      <c r="W82" s="1">
        <f t="shared" si="28"/>
        <v>15.878643809523812</v>
      </c>
      <c r="Y82" s="2" t="s">
        <v>0</v>
      </c>
      <c r="Z82" s="1">
        <f>SUM(Z80:Z81)</f>
        <v>7.6</v>
      </c>
      <c r="AA82" s="1">
        <f t="shared" ref="Z82:AG82" si="29">SUM(AA80:AA81)</f>
        <v>8.8919999999999995</v>
      </c>
      <c r="AB82" s="1">
        <f t="shared" si="29"/>
        <v>10.403639999999998</v>
      </c>
      <c r="AC82" s="1">
        <f t="shared" si="29"/>
        <v>11.768853333333333</v>
      </c>
      <c r="AD82" s="1">
        <f t="shared" si="29"/>
        <v>13.079156666666663</v>
      </c>
      <c r="AE82" s="1">
        <f t="shared" si="29"/>
        <v>15.363294607464599</v>
      </c>
      <c r="AF82" s="1">
        <f t="shared" si="29"/>
        <v>17.107698301158294</v>
      </c>
      <c r="AG82" s="1">
        <f t="shared" si="29"/>
        <v>18.580474375804368</v>
      </c>
    </row>
  </sheetData>
  <mergeCells count="5">
    <mergeCell ref="P63:S63"/>
    <mergeCell ref="T63:W63"/>
    <mergeCell ref="X63:AA63"/>
    <mergeCell ref="AB63:AE63"/>
    <mergeCell ref="AF63:AI6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27208-E471-488A-98AD-0EC5DAFCB1C6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</dc:creator>
  <cp:lastModifiedBy>K.Tomov</cp:lastModifiedBy>
  <dcterms:created xsi:type="dcterms:W3CDTF">2024-04-12T20:01:34Z</dcterms:created>
  <dcterms:modified xsi:type="dcterms:W3CDTF">2025-02-17T20:37:39Z</dcterms:modified>
</cp:coreProperties>
</file>